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1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2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13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drawings/drawing14.xml" ContentType="application/vnd.openxmlformats-officedocument.drawing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5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1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17.xml" ContentType="application/vnd.openxmlformats-officedocument.drawing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18.xml" ContentType="application/vnd.openxmlformats-officedocument.drawing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drawings/drawing19.xml" ContentType="application/vnd.openxmlformats-officedocument.drawing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0115" windowHeight="7815" tabRatio="640"/>
  </bookViews>
  <sheets>
    <sheet name="Summary" sheetId="1" r:id="rId1"/>
    <sheet name="Sorted Summary" sheetId="28" r:id="rId2"/>
    <sheet name="30490" sheetId="3" r:id="rId3"/>
    <sheet name="30491" sheetId="4" r:id="rId4"/>
    <sheet name="30492" sheetId="5" r:id="rId5"/>
    <sheet name="30493" sheetId="6" r:id="rId6"/>
    <sheet name="30494" sheetId="7" r:id="rId7"/>
    <sheet name="30495" sheetId="8" r:id="rId8"/>
    <sheet name="30496" sheetId="9" r:id="rId9"/>
    <sheet name="30497" sheetId="10" r:id="rId10"/>
    <sheet name="30498" sheetId="11" r:id="rId11"/>
    <sheet name="30500" sheetId="2" r:id="rId12"/>
    <sheet name="30505" sheetId="12" r:id="rId13"/>
    <sheet name="30506" sheetId="13" r:id="rId14"/>
    <sheet name="30507" sheetId="14" r:id="rId15"/>
    <sheet name="30508" sheetId="15" r:id="rId16"/>
    <sheet name="30509" sheetId="16" r:id="rId17"/>
    <sheet name="30510" sheetId="17" r:id="rId18"/>
    <sheet name="30515" sheetId="18" r:id="rId19"/>
    <sheet name="30517" sheetId="19" r:id="rId20"/>
    <sheet name="30518" sheetId="20" r:id="rId21"/>
    <sheet name="Camp Pic May 2012" sheetId="24" r:id="rId22"/>
  </sheets>
  <definedNames>
    <definedName name="_GoBack" localSheetId="11">'30500'!$P$77</definedName>
    <definedName name="a24669027" localSheetId="1">'Sorted Summary'!#REF!</definedName>
    <definedName name="a24669027">Summary!#REF!</definedName>
    <definedName name="a24755174" localSheetId="1">'Sorted Summary'!$B$22</definedName>
    <definedName name="a24755174">Summary!$B$22</definedName>
    <definedName name="a24961146" localSheetId="1">'Sorted Summary'!$B$20</definedName>
    <definedName name="a24961146">Summary!$B$20</definedName>
    <definedName name="a31625914" localSheetId="1">'Sorted Summary'!$B$18</definedName>
    <definedName name="a31625914">Summary!$B$18</definedName>
    <definedName name="a33772202" localSheetId="1">'Sorted Summary'!$B$8</definedName>
    <definedName name="a33772202">Summary!$B$8</definedName>
    <definedName name="a33772292" localSheetId="1">'Sorted Summary'!$B$23</definedName>
    <definedName name="a33772292">Summary!$B$23</definedName>
    <definedName name="a33772345" localSheetId="1">'Sorted Summary'!$B$6</definedName>
    <definedName name="a33772345">Summary!$B$6</definedName>
    <definedName name="a34098354" localSheetId="1">'Sorted Summary'!$B$19</definedName>
    <definedName name="a34098354">Summary!$B$19</definedName>
    <definedName name="a34098363" localSheetId="1">'Sorted Summary'!$B$7</definedName>
    <definedName name="a34098363">Summary!$B$7</definedName>
    <definedName name="a34098366" localSheetId="1">'Sorted Summary'!$B$12</definedName>
    <definedName name="a34098366">Summary!$B$12</definedName>
    <definedName name="a34098367" localSheetId="1">'Sorted Summary'!$B$10</definedName>
    <definedName name="a34098367">Summary!$B$10</definedName>
    <definedName name="a34098368" localSheetId="1">'Sorted Summary'!$B$15</definedName>
    <definedName name="a34098368">Summary!$B$15</definedName>
    <definedName name="a34098369" localSheetId="1">'Sorted Summary'!$B$5</definedName>
    <definedName name="a34098369">Summary!$B$5</definedName>
    <definedName name="a34098405" localSheetId="1">'Sorted Summary'!$B$13</definedName>
    <definedName name="a34098405">Summary!$B$13</definedName>
    <definedName name="a34098471" localSheetId="1">'Sorted Summary'!$B$21</definedName>
    <definedName name="a34098471">Summary!$B$21</definedName>
    <definedName name="a34447035" localSheetId="1">'Sorted Summary'!$B$11</definedName>
    <definedName name="a34447035">Summary!$B$11</definedName>
    <definedName name="a34447043" localSheetId="1">'Sorted Summary'!$B$16</definedName>
    <definedName name="a34447043">Summary!$B$16</definedName>
    <definedName name="a34863949" localSheetId="1">'Sorted Summary'!$B$9</definedName>
    <definedName name="a34863949">Summary!$B$9</definedName>
    <definedName name="a37460407" localSheetId="1">'Sorted Summary'!#REF!</definedName>
    <definedName name="a37460407">Summary!#REF!</definedName>
    <definedName name="a38494662" localSheetId="1">'Sorted Summary'!#REF!</definedName>
    <definedName name="a38494662">Summary!#REF!</definedName>
    <definedName name="a632400435">'30500'!$A$1</definedName>
    <definedName name="a632404791" localSheetId="1">'Sorted Summary'!$B$17</definedName>
    <definedName name="a632404791">Summary!$B$17</definedName>
    <definedName name="b24669027" localSheetId="1">#REF!</definedName>
    <definedName name="b24669027">#REF!</definedName>
    <definedName name="b24755174">'30517'!$A$1</definedName>
    <definedName name="b24961146">'30510'!$A$1</definedName>
    <definedName name="b31625914">'30508'!$A$1</definedName>
    <definedName name="b33772202">'30493'!$A$1</definedName>
    <definedName name="b33772292">'30518'!$A$1</definedName>
    <definedName name="b33772345">'30491'!$A$1</definedName>
    <definedName name="b34098354">'30509'!$A$1</definedName>
    <definedName name="b34098363">'30492'!$A$1</definedName>
    <definedName name="b34098366">'30497'!$A$1</definedName>
    <definedName name="b34098367">'30495'!$A$1</definedName>
    <definedName name="b34098368">'30505'!$A$1</definedName>
    <definedName name="b34098369">'30490'!$A$1</definedName>
    <definedName name="b34098405">'30498'!$A$1</definedName>
    <definedName name="b34098471">'30515'!$A$1</definedName>
    <definedName name="b34447035">'30496'!$A$1</definedName>
    <definedName name="b34447043">'30506'!$A$1</definedName>
    <definedName name="b34863949">'30494'!$A$1</definedName>
    <definedName name="b37460407" localSheetId="1">#REF!</definedName>
    <definedName name="b37460407">#REF!</definedName>
    <definedName name="b38494662" localSheetId="1">#REF!</definedName>
    <definedName name="b38494662">#REF!</definedName>
    <definedName name="b632400435" localSheetId="1">'Sorted Summary'!$B$14</definedName>
    <definedName name="b632400435">Summary!$B$14</definedName>
    <definedName name="b632404791">'30507'!$A$1</definedName>
    <definedName name="_xlnm.Print_Area" localSheetId="1">'Sorted Summary'!$B$4:$L$29</definedName>
    <definedName name="_xlnm.Print_Area" localSheetId="0">Summary!$B$4:$M$28</definedName>
  </definedNames>
  <calcPr calcId="145621"/>
</workbook>
</file>

<file path=xl/calcChain.xml><?xml version="1.0" encoding="utf-8"?>
<calcChain xmlns="http://schemas.openxmlformats.org/spreadsheetml/2006/main">
  <c r="F40" i="28" l="1"/>
  <c r="F39" i="28" l="1"/>
  <c r="F38" i="28"/>
  <c r="E7" i="1" l="1"/>
  <c r="E6" i="28"/>
  <c r="D37" i="28"/>
  <c r="E38" i="28"/>
  <c r="E37" i="28"/>
  <c r="E36" i="28"/>
  <c r="E39" i="28"/>
  <c r="D39" i="28"/>
  <c r="D38" i="28"/>
  <c r="D36" i="28"/>
  <c r="E40" i="28"/>
  <c r="P31" i="28"/>
  <c r="N31" i="28"/>
  <c r="M31" i="28"/>
  <c r="L31" i="28"/>
  <c r="N29" i="28"/>
  <c r="I31" i="28"/>
  <c r="E31" i="28"/>
  <c r="I29" i="28"/>
  <c r="H29" i="28"/>
  <c r="G29" i="28"/>
  <c r="E29" i="28"/>
  <c r="P12" i="28"/>
  <c r="O12" i="28"/>
  <c r="N12" i="28"/>
  <c r="M12" i="28"/>
  <c r="L12" i="28"/>
  <c r="K12" i="28"/>
  <c r="I12" i="28"/>
  <c r="H12" i="28"/>
  <c r="G12" i="28"/>
  <c r="F12" i="28"/>
  <c r="E12" i="28"/>
  <c r="D12" i="28"/>
  <c r="P16" i="28"/>
  <c r="O16" i="28"/>
  <c r="N16" i="28"/>
  <c r="M16" i="28"/>
  <c r="L16" i="28"/>
  <c r="K16" i="28"/>
  <c r="I16" i="28"/>
  <c r="H16" i="28"/>
  <c r="G16" i="28"/>
  <c r="F16" i="28"/>
  <c r="E16" i="28"/>
  <c r="D16" i="28"/>
  <c r="P21" i="28"/>
  <c r="O21" i="28"/>
  <c r="O31" i="28" s="1"/>
  <c r="N21" i="28"/>
  <c r="M21" i="28"/>
  <c r="L21" i="28"/>
  <c r="K21" i="28"/>
  <c r="I21" i="28"/>
  <c r="H21" i="28"/>
  <c r="H31" i="28" s="1"/>
  <c r="G21" i="28"/>
  <c r="G31" i="28" s="1"/>
  <c r="F21" i="28"/>
  <c r="F31" i="28" s="1"/>
  <c r="E21" i="28"/>
  <c r="D21" i="28"/>
  <c r="P5" i="28"/>
  <c r="P29" i="28" s="1"/>
  <c r="O5" i="28"/>
  <c r="O29" i="28" s="1"/>
  <c r="N5" i="28"/>
  <c r="M5" i="28"/>
  <c r="M29" i="28" s="1"/>
  <c r="L5" i="28"/>
  <c r="L29" i="28" s="1"/>
  <c r="K5" i="28"/>
  <c r="I5" i="28"/>
  <c r="H5" i="28"/>
  <c r="G5" i="28"/>
  <c r="F5" i="28"/>
  <c r="F29" i="28" s="1"/>
  <c r="E5" i="28"/>
  <c r="D5" i="28"/>
  <c r="P18" i="28"/>
  <c r="O18" i="28"/>
  <c r="N18" i="28"/>
  <c r="M18" i="28"/>
  <c r="L18" i="28"/>
  <c r="K18" i="28"/>
  <c r="I18" i="28"/>
  <c r="H18" i="28"/>
  <c r="G18" i="28"/>
  <c r="F18" i="28"/>
  <c r="E18" i="28"/>
  <c r="D18" i="28"/>
  <c r="P22" i="28"/>
  <c r="O22" i="28"/>
  <c r="N22" i="28"/>
  <c r="M22" i="28"/>
  <c r="L22" i="28"/>
  <c r="K22" i="28"/>
  <c r="I22" i="28"/>
  <c r="H22" i="28"/>
  <c r="G22" i="28"/>
  <c r="F22" i="28"/>
  <c r="E22" i="28"/>
  <c r="D22" i="28"/>
  <c r="P7" i="28"/>
  <c r="O7" i="28"/>
  <c r="N7" i="28"/>
  <c r="M7" i="28"/>
  <c r="L7" i="28"/>
  <c r="K7" i="28"/>
  <c r="I7" i="28"/>
  <c r="H7" i="28"/>
  <c r="G7" i="28"/>
  <c r="F7" i="28"/>
  <c r="E7" i="28"/>
  <c r="D7" i="28"/>
  <c r="P23" i="28"/>
  <c r="O23" i="28"/>
  <c r="N23" i="28"/>
  <c r="M23" i="28"/>
  <c r="L23" i="28"/>
  <c r="K23" i="28"/>
  <c r="I23" i="28"/>
  <c r="H23" i="28"/>
  <c r="G23" i="28"/>
  <c r="F23" i="28"/>
  <c r="E23" i="28"/>
  <c r="D23" i="28"/>
  <c r="P14" i="28"/>
  <c r="O14" i="28"/>
  <c r="N14" i="28"/>
  <c r="M14" i="28"/>
  <c r="L14" i="28"/>
  <c r="K14" i="28"/>
  <c r="I14" i="28"/>
  <c r="H14" i="28"/>
  <c r="G14" i="28"/>
  <c r="F14" i="28"/>
  <c r="E14" i="28"/>
  <c r="D14" i="28"/>
  <c r="P10" i="28"/>
  <c r="O10" i="28"/>
  <c r="N10" i="28"/>
  <c r="M10" i="28"/>
  <c r="L10" i="28"/>
  <c r="K10" i="28"/>
  <c r="I10" i="28"/>
  <c r="H10" i="28"/>
  <c r="G10" i="28"/>
  <c r="F10" i="28"/>
  <c r="E10" i="28"/>
  <c r="D10" i="28"/>
  <c r="P11" i="28"/>
  <c r="O11" i="28"/>
  <c r="N11" i="28"/>
  <c r="M11" i="28"/>
  <c r="L11" i="28"/>
  <c r="K11" i="28"/>
  <c r="I11" i="28"/>
  <c r="H11" i="28"/>
  <c r="G11" i="28"/>
  <c r="F11" i="28"/>
  <c r="E11" i="28"/>
  <c r="D11" i="28"/>
  <c r="P19" i="28"/>
  <c r="O19" i="28"/>
  <c r="N19" i="28"/>
  <c r="M19" i="28"/>
  <c r="L19" i="28"/>
  <c r="K19" i="28"/>
  <c r="I19" i="28"/>
  <c r="H19" i="28"/>
  <c r="G19" i="28"/>
  <c r="F19" i="28"/>
  <c r="E19" i="28"/>
  <c r="D19" i="28"/>
  <c r="P17" i="28"/>
  <c r="O17" i="28"/>
  <c r="N17" i="28"/>
  <c r="M17" i="28"/>
  <c r="L17" i="28"/>
  <c r="K17" i="28"/>
  <c r="I17" i="28"/>
  <c r="H17" i="28"/>
  <c r="G17" i="28"/>
  <c r="F17" i="28"/>
  <c r="E17" i="28"/>
  <c r="D17" i="28"/>
  <c r="P20" i="28"/>
  <c r="O20" i="28"/>
  <c r="N20" i="28"/>
  <c r="M20" i="28"/>
  <c r="L20" i="28"/>
  <c r="K20" i="28"/>
  <c r="I20" i="28"/>
  <c r="H20" i="28"/>
  <c r="G20" i="28"/>
  <c r="F20" i="28"/>
  <c r="E20" i="28"/>
  <c r="D20" i="28"/>
  <c r="P8" i="28"/>
  <c r="O8" i="28"/>
  <c r="N8" i="28"/>
  <c r="M8" i="28"/>
  <c r="L8" i="28"/>
  <c r="K8" i="28"/>
  <c r="I8" i="28"/>
  <c r="H8" i="28"/>
  <c r="G8" i="28"/>
  <c r="F8" i="28"/>
  <c r="E8" i="28"/>
  <c r="D8" i="28"/>
  <c r="P15" i="28"/>
  <c r="O15" i="28"/>
  <c r="N15" i="28"/>
  <c r="M15" i="28"/>
  <c r="L15" i="28"/>
  <c r="K15" i="28"/>
  <c r="I15" i="28"/>
  <c r="H15" i="28"/>
  <c r="G15" i="28"/>
  <c r="F15" i="28"/>
  <c r="E15" i="28"/>
  <c r="D15" i="28"/>
  <c r="P6" i="28"/>
  <c r="O6" i="28"/>
  <c r="N6" i="28"/>
  <c r="M6" i="28"/>
  <c r="M25" i="28" s="1"/>
  <c r="L6" i="28"/>
  <c r="K6" i="28"/>
  <c r="I6" i="28"/>
  <c r="H6" i="28"/>
  <c r="G6" i="28"/>
  <c r="F6" i="28"/>
  <c r="D6" i="28"/>
  <c r="P9" i="28"/>
  <c r="O9" i="28"/>
  <c r="N9" i="28"/>
  <c r="M9" i="28"/>
  <c r="L9" i="28"/>
  <c r="K9" i="28"/>
  <c r="I9" i="28"/>
  <c r="H9" i="28"/>
  <c r="G9" i="28"/>
  <c r="F9" i="28"/>
  <c r="E9" i="28"/>
  <c r="D9" i="28"/>
  <c r="P13" i="28"/>
  <c r="O13" i="28"/>
  <c r="N13" i="28"/>
  <c r="M13" i="28"/>
  <c r="L13" i="28"/>
  <c r="K13" i="28"/>
  <c r="I13" i="28"/>
  <c r="H13" i="28"/>
  <c r="G13" i="28"/>
  <c r="F13" i="28"/>
  <c r="E13" i="28"/>
  <c r="D13" i="28"/>
  <c r="G37" i="28" l="1"/>
  <c r="G39" i="28"/>
  <c r="I25" i="28"/>
  <c r="I30" i="28" s="1"/>
  <c r="E25" i="28"/>
  <c r="F36" i="28" s="1"/>
  <c r="G36" i="28"/>
  <c r="G38" i="28"/>
  <c r="D40" i="28"/>
  <c r="N25" i="28"/>
  <c r="K25" i="28"/>
  <c r="O25" i="28"/>
  <c r="O32" i="28" s="1"/>
  <c r="J9" i="28"/>
  <c r="J13" i="28"/>
  <c r="Q13" i="28"/>
  <c r="Q9" i="28"/>
  <c r="G25" i="28"/>
  <c r="G32" i="28" s="1"/>
  <c r="J21" i="28"/>
  <c r="L25" i="28"/>
  <c r="L26" i="28" s="1"/>
  <c r="P25" i="28"/>
  <c r="J16" i="28"/>
  <c r="J12" i="28"/>
  <c r="Q8" i="28"/>
  <c r="Q17" i="28"/>
  <c r="Q11" i="28"/>
  <c r="Q10" i="28"/>
  <c r="Q14" i="28"/>
  <c r="Q23" i="28"/>
  <c r="Q7" i="28"/>
  <c r="Q22" i="28"/>
  <c r="Q18" i="28"/>
  <c r="Q5" i="28"/>
  <c r="J15" i="28"/>
  <c r="Q15" i="28"/>
  <c r="J8" i="28"/>
  <c r="J20" i="28"/>
  <c r="Q20" i="28"/>
  <c r="J17" i="28"/>
  <c r="J19" i="28"/>
  <c r="Q19" i="28"/>
  <c r="J11" i="28"/>
  <c r="J10" i="28"/>
  <c r="J14" i="28"/>
  <c r="J23" i="28"/>
  <c r="J7" i="28"/>
  <c r="J22" i="28"/>
  <c r="J18" i="28"/>
  <c r="J5" i="28"/>
  <c r="D25" i="28"/>
  <c r="H25" i="28"/>
  <c r="J6" i="28"/>
  <c r="Q21" i="28"/>
  <c r="Q31" i="28" s="1"/>
  <c r="Q16" i="28"/>
  <c r="Q12" i="28"/>
  <c r="N32" i="28"/>
  <c r="N30" i="28"/>
  <c r="O26" i="28"/>
  <c r="L30" i="28"/>
  <c r="P32" i="28"/>
  <c r="P30" i="28"/>
  <c r="M26" i="28"/>
  <c r="M32" i="28"/>
  <c r="M30" i="28"/>
  <c r="H30" i="28"/>
  <c r="I32" i="28"/>
  <c r="F25" i="28"/>
  <c r="Q6" i="28"/>
  <c r="E30" i="28" l="1"/>
  <c r="E32" i="28"/>
  <c r="F37" i="28"/>
  <c r="L32" i="28"/>
  <c r="H26" i="28"/>
  <c r="J31" i="28"/>
  <c r="J25" i="28"/>
  <c r="J32" i="28" s="1"/>
  <c r="Q25" i="28"/>
  <c r="Q32" i="28" s="1"/>
  <c r="J29" i="28"/>
  <c r="Q29" i="28"/>
  <c r="G40" i="28"/>
  <c r="G30" i="28"/>
  <c r="O30" i="28"/>
  <c r="N26" i="28"/>
  <c r="H32" i="28"/>
  <c r="G26" i="28"/>
  <c r="F32" i="28"/>
  <c r="F30" i="28"/>
  <c r="F26" i="28"/>
  <c r="Q30" i="28"/>
  <c r="E26" i="28"/>
  <c r="J30" i="28" l="1"/>
  <c r="D72" i="18" l="1"/>
  <c r="D72" i="16"/>
  <c r="D72" i="15"/>
  <c r="D72" i="9"/>
  <c r="D72" i="8"/>
  <c r="E45" i="20" l="1"/>
  <c r="C45" i="20" s="1"/>
  <c r="D45" i="20"/>
  <c r="E21" i="20"/>
  <c r="C21" i="20" s="1"/>
  <c r="D21" i="20"/>
  <c r="D72" i="20" s="1"/>
  <c r="C70" i="20"/>
  <c r="C69" i="20"/>
  <c r="C68" i="20"/>
  <c r="C67" i="20"/>
  <c r="C66" i="20"/>
  <c r="C65" i="20"/>
  <c r="C64" i="20"/>
  <c r="C63" i="20"/>
  <c r="C62" i="20"/>
  <c r="C61" i="20"/>
  <c r="C60" i="20"/>
  <c r="C59" i="20"/>
  <c r="C58" i="20"/>
  <c r="C57" i="20"/>
  <c r="C56" i="20"/>
  <c r="C55" i="20"/>
  <c r="C54" i="20"/>
  <c r="C53" i="20"/>
  <c r="C52" i="20"/>
  <c r="C51" i="20"/>
  <c r="C50" i="20"/>
  <c r="C49" i="20"/>
  <c r="C48" i="20"/>
  <c r="C47" i="20"/>
  <c r="C46" i="20"/>
  <c r="C44" i="20"/>
  <c r="C43" i="20"/>
  <c r="C42" i="20"/>
  <c r="C41" i="20"/>
  <c r="C40" i="20"/>
  <c r="C39" i="20"/>
  <c r="C38" i="20"/>
  <c r="C37" i="20"/>
  <c r="C36" i="20"/>
  <c r="C35" i="20"/>
  <c r="C34" i="20"/>
  <c r="C33" i="20"/>
  <c r="C32" i="20"/>
  <c r="C31" i="20"/>
  <c r="C30" i="20"/>
  <c r="C29" i="20"/>
  <c r="C28" i="20"/>
  <c r="C27" i="20"/>
  <c r="C26" i="20"/>
  <c r="C25" i="20"/>
  <c r="C24" i="20"/>
  <c r="C23" i="20"/>
  <c r="C22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20"/>
  <c r="C7" i="20"/>
  <c r="C6" i="20"/>
  <c r="C5" i="20"/>
  <c r="C4" i="20"/>
  <c r="E63" i="19"/>
  <c r="D63" i="19"/>
  <c r="D72" i="19" s="1"/>
  <c r="C70" i="19"/>
  <c r="C69" i="19"/>
  <c r="C68" i="19"/>
  <c r="C67" i="19"/>
  <c r="C66" i="19"/>
  <c r="C65" i="19"/>
  <c r="C64" i="19"/>
  <c r="C63" i="19"/>
  <c r="C62" i="19"/>
  <c r="C61" i="19"/>
  <c r="C60" i="19"/>
  <c r="C59" i="19"/>
  <c r="C58" i="19"/>
  <c r="C57" i="19"/>
  <c r="C56" i="19"/>
  <c r="C55" i="19"/>
  <c r="C54" i="19"/>
  <c r="C53" i="19"/>
  <c r="C52" i="19"/>
  <c r="C51" i="19"/>
  <c r="C50" i="19"/>
  <c r="C49" i="19"/>
  <c r="C48" i="19"/>
  <c r="C47" i="19"/>
  <c r="C46" i="19"/>
  <c r="C45" i="19"/>
  <c r="C44" i="19"/>
  <c r="C43" i="19"/>
  <c r="C42" i="19"/>
  <c r="C41" i="19"/>
  <c r="C40" i="19"/>
  <c r="C39" i="19"/>
  <c r="C38" i="19"/>
  <c r="C37" i="19"/>
  <c r="C36" i="19"/>
  <c r="C35" i="19"/>
  <c r="C34" i="19"/>
  <c r="C33" i="19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5" i="19"/>
  <c r="C14" i="19"/>
  <c r="C13" i="19"/>
  <c r="C12" i="19"/>
  <c r="C11" i="19"/>
  <c r="C10" i="19"/>
  <c r="C9" i="19"/>
  <c r="C8" i="19"/>
  <c r="C7" i="19"/>
  <c r="C6" i="19"/>
  <c r="C5" i="19"/>
  <c r="C4" i="19"/>
  <c r="C70" i="18"/>
  <c r="C69" i="18"/>
  <c r="C68" i="18"/>
  <c r="C67" i="18"/>
  <c r="C66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6" i="18"/>
  <c r="C45" i="18"/>
  <c r="C44" i="18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7" i="18"/>
  <c r="C6" i="18"/>
  <c r="C5" i="18"/>
  <c r="C4" i="18"/>
  <c r="C70" i="16"/>
  <c r="C69" i="16"/>
  <c r="C68" i="16"/>
  <c r="C67" i="16"/>
  <c r="C66" i="16"/>
  <c r="C65" i="16"/>
  <c r="C64" i="16"/>
  <c r="C63" i="16"/>
  <c r="C62" i="16"/>
  <c r="C61" i="16"/>
  <c r="C60" i="16"/>
  <c r="C59" i="16"/>
  <c r="C58" i="16"/>
  <c r="C57" i="16"/>
  <c r="C56" i="16"/>
  <c r="C55" i="16"/>
  <c r="C54" i="16"/>
  <c r="C53" i="16"/>
  <c r="C52" i="16"/>
  <c r="C51" i="16"/>
  <c r="C50" i="16"/>
  <c r="C49" i="16"/>
  <c r="C48" i="16"/>
  <c r="C47" i="16"/>
  <c r="C46" i="16"/>
  <c r="C45" i="16"/>
  <c r="C44" i="16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C13" i="16"/>
  <c r="C12" i="16"/>
  <c r="C11" i="16"/>
  <c r="C10" i="16"/>
  <c r="C9" i="16"/>
  <c r="C8" i="16"/>
  <c r="C7" i="16"/>
  <c r="C6" i="16"/>
  <c r="C5" i="16"/>
  <c r="C4" i="16"/>
  <c r="C70" i="15"/>
  <c r="C69" i="15"/>
  <c r="C68" i="15"/>
  <c r="C67" i="15"/>
  <c r="C66" i="15"/>
  <c r="C65" i="15"/>
  <c r="C64" i="15"/>
  <c r="C63" i="15"/>
  <c r="C62" i="15"/>
  <c r="C61" i="15"/>
  <c r="C60" i="15"/>
  <c r="C59" i="15"/>
  <c r="C58" i="15"/>
  <c r="C57" i="15"/>
  <c r="C56" i="15"/>
  <c r="C55" i="15"/>
  <c r="C54" i="15"/>
  <c r="C53" i="15"/>
  <c r="C52" i="15"/>
  <c r="C51" i="15"/>
  <c r="C50" i="15"/>
  <c r="C49" i="15"/>
  <c r="C48" i="15"/>
  <c r="C47" i="15"/>
  <c r="C46" i="15"/>
  <c r="C45" i="15"/>
  <c r="C44" i="15"/>
  <c r="C43" i="15"/>
  <c r="C42" i="15"/>
  <c r="C41" i="15"/>
  <c r="C40" i="15"/>
  <c r="C39" i="15"/>
  <c r="C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4" i="15"/>
  <c r="C13" i="15"/>
  <c r="C12" i="15"/>
  <c r="C11" i="15"/>
  <c r="C10" i="15"/>
  <c r="C9" i="15"/>
  <c r="C8" i="15"/>
  <c r="C7" i="15"/>
  <c r="C6" i="15"/>
  <c r="C5" i="15"/>
  <c r="C4" i="15"/>
  <c r="E45" i="14"/>
  <c r="D45" i="14"/>
  <c r="D10" i="14"/>
  <c r="C10" i="14" s="1"/>
  <c r="E9" i="14"/>
  <c r="C9" i="14" s="1"/>
  <c r="D9" i="14"/>
  <c r="C70" i="14"/>
  <c r="C69" i="14"/>
  <c r="C68" i="14"/>
  <c r="C67" i="14"/>
  <c r="C66" i="14"/>
  <c r="C65" i="14"/>
  <c r="C64" i="14"/>
  <c r="C63" i="14"/>
  <c r="C62" i="14"/>
  <c r="C61" i="14"/>
  <c r="C60" i="14"/>
  <c r="C59" i="14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8" i="14"/>
  <c r="C7" i="14"/>
  <c r="C6" i="14"/>
  <c r="C5" i="14"/>
  <c r="C4" i="14"/>
  <c r="E37" i="13"/>
  <c r="D37" i="13"/>
  <c r="D72" i="13" s="1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E45" i="12"/>
  <c r="C45" i="12" s="1"/>
  <c r="D45" i="12"/>
  <c r="D72" i="12" s="1"/>
  <c r="E55" i="12"/>
  <c r="D55" i="12"/>
  <c r="C70" i="12"/>
  <c r="C69" i="12"/>
  <c r="C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4" i="12"/>
  <c r="C53" i="12"/>
  <c r="C52" i="12"/>
  <c r="C51" i="12"/>
  <c r="C50" i="12"/>
  <c r="C49" i="12"/>
  <c r="C48" i="12"/>
  <c r="C47" i="12"/>
  <c r="C46" i="12"/>
  <c r="C44" i="12"/>
  <c r="C43" i="12"/>
  <c r="C42" i="12"/>
  <c r="C41" i="12"/>
  <c r="C40" i="12"/>
  <c r="C39" i="12"/>
  <c r="C38" i="12"/>
  <c r="C37" i="12"/>
  <c r="C36" i="12"/>
  <c r="C35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D66" i="11"/>
  <c r="E64" i="11"/>
  <c r="C64" i="11" s="1"/>
  <c r="D64" i="11"/>
  <c r="E63" i="11"/>
  <c r="C63" i="11" s="1"/>
  <c r="D63" i="11"/>
  <c r="E56" i="11"/>
  <c r="D56" i="11"/>
  <c r="E45" i="11"/>
  <c r="C45" i="11" s="1"/>
  <c r="D45" i="11"/>
  <c r="E26" i="11"/>
  <c r="D26" i="11"/>
  <c r="D72" i="11" s="1"/>
  <c r="C70" i="11"/>
  <c r="C69" i="11"/>
  <c r="C68" i="11"/>
  <c r="C67" i="11"/>
  <c r="C66" i="11"/>
  <c r="C65" i="11"/>
  <c r="C62" i="11"/>
  <c r="C61" i="11"/>
  <c r="C60" i="11"/>
  <c r="C59" i="11"/>
  <c r="C58" i="11"/>
  <c r="C57" i="11"/>
  <c r="C56" i="11"/>
  <c r="C55" i="11"/>
  <c r="C54" i="11"/>
  <c r="C53" i="11"/>
  <c r="C52" i="11"/>
  <c r="C51" i="11"/>
  <c r="C50" i="11"/>
  <c r="C49" i="11"/>
  <c r="C48" i="11"/>
  <c r="C47" i="11"/>
  <c r="C46" i="11"/>
  <c r="C44" i="11"/>
  <c r="C43" i="11"/>
  <c r="C42" i="11"/>
  <c r="C41" i="11"/>
  <c r="C40" i="11"/>
  <c r="C39" i="11"/>
  <c r="C38" i="11"/>
  <c r="C37" i="11"/>
  <c r="C36" i="11"/>
  <c r="C35" i="11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5" i="11"/>
  <c r="C4" i="11"/>
  <c r="E63" i="10"/>
  <c r="D63" i="10"/>
  <c r="E52" i="10"/>
  <c r="D52" i="10"/>
  <c r="D72" i="10" s="1"/>
  <c r="C70" i="10"/>
  <c r="C69" i="10"/>
  <c r="C68" i="10"/>
  <c r="C67" i="10"/>
  <c r="C66" i="10"/>
  <c r="C65" i="10"/>
  <c r="C64" i="10"/>
  <c r="C62" i="10"/>
  <c r="C61" i="10"/>
  <c r="C60" i="10"/>
  <c r="C59" i="10"/>
  <c r="C58" i="10"/>
  <c r="C57" i="10"/>
  <c r="C56" i="10"/>
  <c r="C55" i="10"/>
  <c r="C54" i="10"/>
  <c r="C53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C70" i="8"/>
  <c r="C69" i="8"/>
  <c r="C68" i="8"/>
  <c r="C67" i="8"/>
  <c r="C66" i="8"/>
  <c r="C65" i="8"/>
  <c r="C64" i="8"/>
  <c r="C63" i="8"/>
  <c r="C62" i="8"/>
  <c r="C61" i="8"/>
  <c r="C60" i="8"/>
  <c r="C59" i="8"/>
  <c r="C58" i="8"/>
  <c r="C57" i="8"/>
  <c r="C56" i="8"/>
  <c r="C55" i="8"/>
  <c r="C54" i="8"/>
  <c r="C53" i="8"/>
  <c r="C52" i="8"/>
  <c r="C51" i="8"/>
  <c r="C50" i="8"/>
  <c r="C49" i="8"/>
  <c r="C48" i="8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D46" i="7"/>
  <c r="E46" i="7"/>
  <c r="D45" i="7"/>
  <c r="E45" i="7"/>
  <c r="E34" i="7"/>
  <c r="D34" i="7"/>
  <c r="E21" i="7"/>
  <c r="D21" i="7"/>
  <c r="E7" i="7"/>
  <c r="D7" i="7"/>
  <c r="D72" i="7" s="1"/>
  <c r="C52" i="10" l="1"/>
  <c r="D72" i="14"/>
  <c r="C55" i="12"/>
  <c r="C63" i="10"/>
  <c r="C70" i="7" l="1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E45" i="6"/>
  <c r="C45" i="6" s="1"/>
  <c r="D45" i="6"/>
  <c r="E21" i="6"/>
  <c r="D21" i="6"/>
  <c r="D72" i="6" s="1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E65" i="5"/>
  <c r="D65" i="5"/>
  <c r="E64" i="5"/>
  <c r="C64" i="5" s="1"/>
  <c r="D64" i="5"/>
  <c r="E63" i="5"/>
  <c r="D63" i="5"/>
  <c r="D53" i="5"/>
  <c r="C53" i="5" s="1"/>
  <c r="E53" i="5"/>
  <c r="E52" i="5"/>
  <c r="D52" i="5"/>
  <c r="E51" i="5"/>
  <c r="C51" i="5" s="1"/>
  <c r="D51" i="5"/>
  <c r="E41" i="5"/>
  <c r="D41" i="5"/>
  <c r="E40" i="5"/>
  <c r="C40" i="5" s="1"/>
  <c r="D40" i="5"/>
  <c r="E39" i="5"/>
  <c r="D39" i="5"/>
  <c r="C39" i="5" s="1"/>
  <c r="E34" i="5"/>
  <c r="C34" i="5" s="1"/>
  <c r="D34" i="5"/>
  <c r="E33" i="5"/>
  <c r="D33" i="5"/>
  <c r="E32" i="5"/>
  <c r="C32" i="5" s="1"/>
  <c r="D32" i="5"/>
  <c r="E31" i="5"/>
  <c r="D31" i="5"/>
  <c r="E21" i="5"/>
  <c r="C21" i="5" s="1"/>
  <c r="D21" i="5"/>
  <c r="C70" i="5"/>
  <c r="C69" i="5"/>
  <c r="C68" i="5"/>
  <c r="C67" i="5"/>
  <c r="C66" i="5"/>
  <c r="C63" i="5"/>
  <c r="C62" i="5"/>
  <c r="C61" i="5"/>
  <c r="C60" i="5"/>
  <c r="C59" i="5"/>
  <c r="C58" i="5"/>
  <c r="C57" i="5"/>
  <c r="C56" i="5"/>
  <c r="C55" i="5"/>
  <c r="C54" i="5"/>
  <c r="C50" i="5"/>
  <c r="C49" i="5"/>
  <c r="C48" i="5"/>
  <c r="C47" i="5"/>
  <c r="C46" i="5"/>
  <c r="C45" i="5"/>
  <c r="C44" i="5"/>
  <c r="C43" i="5"/>
  <c r="C42" i="5"/>
  <c r="C41" i="5"/>
  <c r="C38" i="5"/>
  <c r="C37" i="5"/>
  <c r="C36" i="5"/>
  <c r="C35" i="5"/>
  <c r="C30" i="5"/>
  <c r="C29" i="5"/>
  <c r="C28" i="5"/>
  <c r="C27" i="5"/>
  <c r="C26" i="5"/>
  <c r="C25" i="5"/>
  <c r="C24" i="5"/>
  <c r="C23" i="5"/>
  <c r="C22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E53" i="4"/>
  <c r="D53" i="4"/>
  <c r="D72" i="4" s="1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E45" i="3"/>
  <c r="D45" i="3"/>
  <c r="D21" i="3"/>
  <c r="D72" i="3" s="1"/>
  <c r="E21" i="3"/>
  <c r="C2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E45" i="2"/>
  <c r="D45" i="2"/>
  <c r="E21" i="2"/>
  <c r="C45" i="3" l="1"/>
  <c r="C31" i="5"/>
  <c r="C33" i="5"/>
  <c r="C52" i="5"/>
  <c r="C65" i="5"/>
  <c r="D72" i="5"/>
  <c r="D16" i="17"/>
  <c r="E16" i="17" s="1"/>
  <c r="D26" i="17"/>
  <c r="E26" i="17" s="1"/>
  <c r="E4" i="17"/>
  <c r="E5" i="17"/>
  <c r="E6" i="17"/>
  <c r="E7" i="17"/>
  <c r="E8" i="17"/>
  <c r="E9" i="17"/>
  <c r="E10" i="17"/>
  <c r="E11" i="17"/>
  <c r="E12" i="17"/>
  <c r="E13" i="17"/>
  <c r="E14" i="17"/>
  <c r="E15" i="17"/>
  <c r="E17" i="17"/>
  <c r="E18" i="17"/>
  <c r="E19" i="17"/>
  <c r="E20" i="17"/>
  <c r="E21" i="17"/>
  <c r="E22" i="17"/>
  <c r="E23" i="17"/>
  <c r="E24" i="17"/>
  <c r="E25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D69" i="17"/>
  <c r="E69" i="17" s="1"/>
  <c r="D72" i="17"/>
  <c r="E72" i="17" l="1"/>
  <c r="B1" i="5"/>
  <c r="B1" i="4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4" i="2"/>
  <c r="D21" i="2"/>
  <c r="D72" i="2" s="1"/>
  <c r="D14" i="1"/>
  <c r="E72" i="2"/>
  <c r="Q23" i="1" l="1"/>
  <c r="P23" i="1"/>
  <c r="O23" i="1"/>
  <c r="N23" i="1"/>
  <c r="M23" i="1"/>
  <c r="L23" i="1"/>
  <c r="I23" i="1"/>
  <c r="H23" i="1"/>
  <c r="G23" i="1"/>
  <c r="F23" i="1"/>
  <c r="E23" i="1"/>
  <c r="D23" i="1"/>
  <c r="Q22" i="1"/>
  <c r="P22" i="1"/>
  <c r="O22" i="1"/>
  <c r="N22" i="1"/>
  <c r="M22" i="1"/>
  <c r="L22" i="1"/>
  <c r="I22" i="1"/>
  <c r="H22" i="1"/>
  <c r="G22" i="1"/>
  <c r="F22" i="1"/>
  <c r="E22" i="1"/>
  <c r="D22" i="1"/>
  <c r="Q21" i="1"/>
  <c r="P21" i="1"/>
  <c r="O21" i="1"/>
  <c r="N21" i="1"/>
  <c r="M21" i="1"/>
  <c r="L21" i="1"/>
  <c r="I21" i="1"/>
  <c r="H21" i="1"/>
  <c r="G21" i="1"/>
  <c r="F21" i="1"/>
  <c r="E21" i="1"/>
  <c r="D21" i="1"/>
  <c r="Q20" i="1"/>
  <c r="P20" i="1"/>
  <c r="O20" i="1"/>
  <c r="N20" i="1"/>
  <c r="M20" i="1"/>
  <c r="L20" i="1"/>
  <c r="I20" i="1"/>
  <c r="H20" i="1"/>
  <c r="G20" i="1"/>
  <c r="F20" i="1"/>
  <c r="E20" i="1"/>
  <c r="D20" i="1"/>
  <c r="Q19" i="1"/>
  <c r="P19" i="1"/>
  <c r="O19" i="1"/>
  <c r="N19" i="1"/>
  <c r="M19" i="1"/>
  <c r="L19" i="1"/>
  <c r="I19" i="1"/>
  <c r="H19" i="1"/>
  <c r="G19" i="1"/>
  <c r="F19" i="1"/>
  <c r="E19" i="1"/>
  <c r="D19" i="1"/>
  <c r="Q18" i="1"/>
  <c r="P18" i="1"/>
  <c r="O18" i="1"/>
  <c r="N18" i="1"/>
  <c r="M18" i="1"/>
  <c r="L18" i="1"/>
  <c r="I18" i="1"/>
  <c r="H18" i="1"/>
  <c r="G18" i="1"/>
  <c r="F18" i="1"/>
  <c r="E18" i="1"/>
  <c r="D18" i="1"/>
  <c r="Q17" i="1"/>
  <c r="P17" i="1"/>
  <c r="O17" i="1"/>
  <c r="N17" i="1"/>
  <c r="M17" i="1"/>
  <c r="L17" i="1"/>
  <c r="I17" i="1"/>
  <c r="H17" i="1"/>
  <c r="G17" i="1"/>
  <c r="F17" i="1"/>
  <c r="E17" i="1"/>
  <c r="D17" i="1"/>
  <c r="Q16" i="1"/>
  <c r="P16" i="1"/>
  <c r="O16" i="1"/>
  <c r="N16" i="1"/>
  <c r="M16" i="1"/>
  <c r="L16" i="1"/>
  <c r="I16" i="1"/>
  <c r="H16" i="1"/>
  <c r="G16" i="1"/>
  <c r="F16" i="1"/>
  <c r="E16" i="1"/>
  <c r="D16" i="1"/>
  <c r="Q15" i="1"/>
  <c r="P15" i="1"/>
  <c r="O15" i="1"/>
  <c r="N15" i="1"/>
  <c r="M15" i="1"/>
  <c r="L15" i="1"/>
  <c r="I15" i="1"/>
  <c r="H15" i="1"/>
  <c r="G15" i="1"/>
  <c r="F15" i="1"/>
  <c r="E15" i="1"/>
  <c r="D15" i="1"/>
  <c r="Q13" i="1"/>
  <c r="P13" i="1"/>
  <c r="O13" i="1"/>
  <c r="N13" i="1"/>
  <c r="M13" i="1"/>
  <c r="L13" i="1"/>
  <c r="I13" i="1"/>
  <c r="H13" i="1"/>
  <c r="G13" i="1"/>
  <c r="F13" i="1"/>
  <c r="E13" i="1"/>
  <c r="D13" i="1"/>
  <c r="Q12" i="1"/>
  <c r="P12" i="1"/>
  <c r="O12" i="1"/>
  <c r="N12" i="1"/>
  <c r="M12" i="1"/>
  <c r="L12" i="1"/>
  <c r="I12" i="1"/>
  <c r="H12" i="1"/>
  <c r="G12" i="1"/>
  <c r="F12" i="1"/>
  <c r="E12" i="1"/>
  <c r="D12" i="1"/>
  <c r="Q11" i="1"/>
  <c r="P11" i="1"/>
  <c r="O11" i="1"/>
  <c r="N11" i="1"/>
  <c r="M11" i="1"/>
  <c r="L11" i="1"/>
  <c r="I11" i="1"/>
  <c r="H11" i="1"/>
  <c r="G11" i="1"/>
  <c r="F11" i="1"/>
  <c r="E11" i="1"/>
  <c r="D11" i="1"/>
  <c r="Q10" i="1"/>
  <c r="P10" i="1"/>
  <c r="O10" i="1"/>
  <c r="N10" i="1"/>
  <c r="M10" i="1"/>
  <c r="L10" i="1"/>
  <c r="I10" i="1"/>
  <c r="H10" i="1"/>
  <c r="G10" i="1"/>
  <c r="F10" i="1"/>
  <c r="E10" i="1"/>
  <c r="D10" i="1"/>
  <c r="Q9" i="1"/>
  <c r="P9" i="1"/>
  <c r="O9" i="1"/>
  <c r="N9" i="1"/>
  <c r="M9" i="1"/>
  <c r="L9" i="1"/>
  <c r="I9" i="1"/>
  <c r="H9" i="1"/>
  <c r="G9" i="1"/>
  <c r="F9" i="1"/>
  <c r="E9" i="1"/>
  <c r="D9" i="1"/>
  <c r="Q8" i="1"/>
  <c r="P8" i="1"/>
  <c r="O8" i="1"/>
  <c r="N8" i="1"/>
  <c r="M8" i="1"/>
  <c r="L8" i="1"/>
  <c r="I8" i="1"/>
  <c r="H8" i="1"/>
  <c r="G8" i="1"/>
  <c r="F8" i="1"/>
  <c r="E8" i="1"/>
  <c r="D8" i="1"/>
  <c r="Q7" i="1"/>
  <c r="P7" i="1"/>
  <c r="O7" i="1"/>
  <c r="N7" i="1"/>
  <c r="M7" i="1"/>
  <c r="L7" i="1"/>
  <c r="I7" i="1"/>
  <c r="H7" i="1"/>
  <c r="G7" i="1"/>
  <c r="F7" i="1"/>
  <c r="D7" i="1"/>
  <c r="Q6" i="1"/>
  <c r="P6" i="1"/>
  <c r="O6" i="1"/>
  <c r="N6" i="1"/>
  <c r="M6" i="1"/>
  <c r="L6" i="1"/>
  <c r="I6" i="1"/>
  <c r="H6" i="1"/>
  <c r="G6" i="1"/>
  <c r="F6" i="1"/>
  <c r="E6" i="1"/>
  <c r="D6" i="1"/>
  <c r="Q5" i="1"/>
  <c r="P5" i="1"/>
  <c r="O5" i="1"/>
  <c r="N5" i="1"/>
  <c r="M5" i="1"/>
  <c r="L5" i="1"/>
  <c r="I5" i="1"/>
  <c r="H5" i="1"/>
  <c r="G5" i="1"/>
  <c r="F5" i="1"/>
  <c r="E5" i="1"/>
  <c r="D5" i="1"/>
  <c r="Q14" i="1"/>
  <c r="P14" i="1"/>
  <c r="O14" i="1"/>
  <c r="N14" i="1"/>
  <c r="M14" i="1"/>
  <c r="L14" i="1"/>
  <c r="I14" i="1"/>
  <c r="H14" i="1"/>
  <c r="G14" i="1"/>
  <c r="F14" i="1"/>
  <c r="E14" i="1"/>
  <c r="O25" i="1" l="1"/>
  <c r="I25" i="1"/>
  <c r="F25" i="1"/>
  <c r="P25" i="1"/>
  <c r="H25" i="1"/>
  <c r="G25" i="1"/>
  <c r="Q25" i="1"/>
  <c r="M25" i="1"/>
  <c r="E25" i="1"/>
  <c r="D25" i="1"/>
  <c r="N25" i="1"/>
  <c r="J5" i="1"/>
  <c r="J6" i="1"/>
  <c r="J7" i="1"/>
  <c r="J8" i="1"/>
  <c r="J9" i="1"/>
  <c r="J10" i="1"/>
  <c r="J11" i="1"/>
  <c r="J12" i="1"/>
  <c r="J13" i="1"/>
  <c r="J15" i="1"/>
  <c r="J16" i="1"/>
  <c r="J17" i="1"/>
  <c r="J18" i="1"/>
  <c r="J19" i="1"/>
  <c r="J20" i="1"/>
  <c r="J21" i="1"/>
  <c r="J22" i="1"/>
  <c r="J23" i="1"/>
  <c r="R14" i="1"/>
  <c r="R5" i="1"/>
  <c r="R6" i="1"/>
  <c r="R7" i="1"/>
  <c r="R8" i="1"/>
  <c r="R9" i="1"/>
  <c r="R10" i="1"/>
  <c r="R11" i="1"/>
  <c r="R12" i="1"/>
  <c r="R13" i="1"/>
  <c r="R15" i="1"/>
  <c r="R16" i="1"/>
  <c r="R17" i="1"/>
  <c r="R18" i="1"/>
  <c r="R19" i="1"/>
  <c r="R20" i="1"/>
  <c r="R21" i="1"/>
  <c r="R22" i="1"/>
  <c r="R23" i="1"/>
  <c r="J14" i="1"/>
  <c r="L25" i="1"/>
  <c r="E72" i="20"/>
  <c r="E72" i="19"/>
  <c r="E72" i="18"/>
  <c r="E72" i="16"/>
  <c r="E72" i="15"/>
  <c r="E72" i="14"/>
  <c r="E72" i="13"/>
  <c r="E72" i="12"/>
  <c r="E72" i="11"/>
  <c r="E72" i="10"/>
  <c r="E72" i="9"/>
  <c r="E72" i="8"/>
  <c r="E72" i="7"/>
  <c r="E72" i="6"/>
  <c r="E72" i="5"/>
  <c r="E72" i="4"/>
  <c r="E72" i="3"/>
  <c r="H26" i="1" l="1"/>
  <c r="G26" i="1"/>
  <c r="E26" i="1"/>
  <c r="M26" i="1"/>
  <c r="O26" i="1"/>
  <c r="P26" i="1"/>
  <c r="F26" i="1"/>
  <c r="N26" i="1"/>
  <c r="J25" i="1"/>
  <c r="R25" i="1"/>
  <c r="B1" i="20" l="1"/>
  <c r="A1" i="20"/>
  <c r="B1" i="19"/>
  <c r="A1" i="19"/>
  <c r="B1" i="18" l="1"/>
  <c r="A1" i="18"/>
  <c r="B1" i="17"/>
  <c r="A1" i="17"/>
  <c r="B1" i="16"/>
  <c r="A1" i="16"/>
  <c r="B1" i="15"/>
  <c r="A1" i="15"/>
  <c r="B1" i="14"/>
  <c r="A1" i="14"/>
  <c r="B1" i="13"/>
  <c r="A1" i="13"/>
  <c r="B1" i="12"/>
  <c r="A1" i="12"/>
  <c r="B1" i="11"/>
  <c r="A1" i="11"/>
  <c r="B1" i="10"/>
  <c r="A1" i="10"/>
  <c r="B1" i="9"/>
  <c r="A1" i="9"/>
  <c r="B1" i="8"/>
  <c r="B1" i="7"/>
  <c r="B1" i="6"/>
  <c r="A1" i="2" l="1"/>
  <c r="B1" i="3" l="1"/>
  <c r="A1" i="3"/>
  <c r="B1" i="2"/>
</calcChain>
</file>

<file path=xl/sharedStrings.xml><?xml version="1.0" encoding="utf-8"?>
<sst xmlns="http://schemas.openxmlformats.org/spreadsheetml/2006/main" count="180" uniqueCount="50">
  <si>
    <t>Account</t>
  </si>
  <si>
    <t>Summary</t>
  </si>
  <si>
    <t>N/A</t>
  </si>
  <si>
    <t>Totals</t>
  </si>
  <si>
    <t>Billing Date</t>
  </si>
  <si>
    <t>Total</t>
  </si>
  <si>
    <t>Total to 2007</t>
  </si>
  <si>
    <t>% Change from Prior Year</t>
  </si>
  <si>
    <t>Total Costs ($)</t>
  </si>
  <si>
    <t>3 Highest Users Total</t>
  </si>
  <si>
    <t>3 Highest Users % of Overall Total</t>
  </si>
  <si>
    <t>3 Lowest Users Total</t>
  </si>
  <si>
    <t>3 Lowest Users % of Overall Total</t>
  </si>
  <si>
    <t>Cost
($)</t>
  </si>
  <si>
    <t>$/gal</t>
  </si>
  <si>
    <t>Purchase
(gallons)</t>
  </si>
  <si>
    <t>Propane Purchased (gallons)</t>
  </si>
  <si>
    <t>007075: 008001   Ed Center</t>
  </si>
  <si>
    <t>569090: 613151   S 9 &amp; 10</t>
  </si>
  <si>
    <t>613154   N 2</t>
  </si>
  <si>
    <t>601496   15-NC 9</t>
  </si>
  <si>
    <t>549892   17/V2</t>
  </si>
  <si>
    <t>571181   18-NC 7</t>
  </si>
  <si>
    <t>030777: 620481   SC 1 Laundry</t>
  </si>
  <si>
    <t>07298</t>
  </si>
  <si>
    <t>No name given</t>
  </si>
  <si>
    <t>002107: 002359   SC 6-7</t>
  </si>
  <si>
    <t>530677: 577211: 613153: 613155   Dining Hall</t>
  </si>
  <si>
    <t>007086   NC Laundry</t>
  </si>
  <si>
    <t>601481   Brown House</t>
  </si>
  <si>
    <t>Partial Yr</t>
  </si>
  <si>
    <t>Identification</t>
  </si>
  <si>
    <t>Food Service Director's Residence - Tank # 542059</t>
  </si>
  <si>
    <t xml:space="preserve">Director's Residence (Gray House) - Tank # 613241   </t>
  </si>
  <si>
    <t>SC Parking - Tank # 899624</t>
  </si>
  <si>
    <t>2012 (Partial)</t>
  </si>
  <si>
    <t>Location</t>
  </si>
  <si>
    <t>Dining Hall</t>
  </si>
  <si>
    <t>Education Center</t>
  </si>
  <si>
    <t>All Other Locations</t>
  </si>
  <si>
    <t xml:space="preserve">  Total</t>
  </si>
  <si>
    <t>South Cabin 6 &amp; 7</t>
  </si>
  <si>
    <t>2011 Propane Purchases (gallons)</t>
  </si>
  <si>
    <t>2010 Propane Purchases (gallons)</t>
  </si>
  <si>
    <t>% of 2011 Total Propane Purchased</t>
  </si>
  <si>
    <t>% Change Full Year 2011 vs. 2010</t>
  </si>
  <si>
    <t>Red indicators on map below show the location of propane tanks at Camp Michigania.</t>
  </si>
  <si>
    <t>Locations were found by Tim Dobson and Andrew Heairet during a site assessment at camp in May, 2012 and subsequently mapped using http://batchgeo.com/.</t>
  </si>
  <si>
    <t>Camp Picture of Propane Tanks as of May 2012</t>
  </si>
  <si>
    <t>Sorted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</si>
</sst>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  <numFmt numFmtId="166" formatCode="_(&quot;$&quot;* #,##0_);_(&quot;$&quot;* \(#,##0\);_(&quot;$&quot;* &quot;-&quot;??_);_(@_)"/>
    <numFmt numFmtId="167" formatCode="[$-409]mmm\-yy;@"/>
    <numFmt numFmtId="168" formatCode="0.0%"/>
    <numFmt numFmtId="169" formatCode="0.0"/>
    <numFmt numFmtId="170" formatCode="_(* #,##0.0_);_(* \(#,##0.0\);_(* &quot;-&quot;??_);_(@_)"/>
    <numFmt numFmtId="171" formatCode="[$$-409]#,##0.000"/>
    <numFmt numFmtId="172" formatCode="[$-409]mmmm\-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Trebuchet MS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 Unicode MS"/>
      <family val="2"/>
    </font>
    <font>
      <sz val="10"/>
      <color rgb="FF0000FF"/>
      <name val="Arial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2" fillId="0" borderId="0" xfId="0" applyFont="1"/>
    <xf numFmtId="0" fontId="7" fillId="0" borderId="0" xfId="0" applyFont="1"/>
    <xf numFmtId="44" fontId="0" fillId="0" borderId="0" xfId="2" applyFont="1"/>
    <xf numFmtId="0" fontId="3" fillId="0" borderId="0" xfId="0" applyFont="1" applyAlignment="1">
      <alignment horizontal="center" wrapText="1"/>
    </xf>
    <xf numFmtId="0" fontId="8" fillId="0" borderId="0" xfId="3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65" fontId="0" fillId="0" borderId="1" xfId="0" applyNumberFormat="1" applyBorder="1"/>
    <xf numFmtId="0" fontId="5" fillId="0" borderId="1" xfId="0" applyFont="1" applyFill="1" applyBorder="1" applyAlignment="1">
      <alignment horizontal="left" vertical="center" wrapText="1"/>
    </xf>
    <xf numFmtId="14" fontId="0" fillId="0" borderId="0" xfId="0" applyNumberFormat="1"/>
    <xf numFmtId="0" fontId="4" fillId="2" borderId="1" xfId="0" applyFont="1" applyFill="1" applyBorder="1" applyAlignment="1">
      <alignment horizontal="center" vertical="center" wrapText="1"/>
    </xf>
    <xf numFmtId="167" fontId="5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/>
    </xf>
    <xf numFmtId="0" fontId="9" fillId="0" borderId="0" xfId="0" applyFont="1"/>
    <xf numFmtId="0" fontId="10" fillId="0" borderId="0" xfId="3" applyFont="1"/>
    <xf numFmtId="0" fontId="11" fillId="0" borderId="0" xfId="0" applyFont="1"/>
    <xf numFmtId="0" fontId="9" fillId="0" borderId="0" xfId="0" applyFont="1" applyAlignment="1">
      <alignment vertical="center"/>
    </xf>
    <xf numFmtId="14" fontId="9" fillId="0" borderId="0" xfId="0" applyNumberFormat="1" applyFont="1" applyAlignment="1">
      <alignment vertical="center"/>
    </xf>
    <xf numFmtId="14" fontId="9" fillId="0" borderId="0" xfId="0" applyNumberFormat="1" applyFont="1"/>
    <xf numFmtId="1" fontId="0" fillId="0" borderId="0" xfId="0" applyNumberFormat="1"/>
    <xf numFmtId="167" fontId="5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/>
    <xf numFmtId="0" fontId="0" fillId="0" borderId="0" xfId="0" applyFill="1"/>
    <xf numFmtId="167" fontId="5" fillId="2" borderId="1" xfId="0" applyNumberFormat="1" applyFont="1" applyFill="1" applyBorder="1" applyAlignment="1">
      <alignment horizontal="right" vertical="center"/>
    </xf>
    <xf numFmtId="165" fontId="0" fillId="0" borderId="0" xfId="1" applyNumberFormat="1" applyFont="1"/>
    <xf numFmtId="43" fontId="0" fillId="0" borderId="0" xfId="0" applyNumberFormat="1"/>
    <xf numFmtId="165" fontId="0" fillId="3" borderId="0" xfId="0" applyNumberFormat="1" applyFill="1"/>
    <xf numFmtId="9" fontId="0" fillId="3" borderId="0" xfId="4" applyFont="1" applyFill="1"/>
    <xf numFmtId="0" fontId="0" fillId="4" borderId="0" xfId="0" applyFill="1"/>
    <xf numFmtId="165" fontId="0" fillId="4" borderId="0" xfId="0" applyNumberFormat="1" applyFill="1"/>
    <xf numFmtId="168" fontId="0" fillId="4" borderId="0" xfId="4" applyNumberFormat="1" applyFont="1" applyFill="1"/>
    <xf numFmtId="0" fontId="13" fillId="0" borderId="0" xfId="0" applyFont="1" applyAlignment="1">
      <alignment vertical="center"/>
    </xf>
    <xf numFmtId="0" fontId="13" fillId="0" borderId="0" xfId="0" applyFont="1"/>
    <xf numFmtId="165" fontId="0" fillId="0" borderId="1" xfId="1" applyNumberFormat="1" applyFont="1" applyFill="1" applyBorder="1"/>
    <xf numFmtId="166" fontId="0" fillId="0" borderId="1" xfId="2" applyNumberFormat="1" applyFont="1" applyFill="1" applyBorder="1"/>
    <xf numFmtId="0" fontId="0" fillId="0" borderId="10" xfId="0" applyFill="1" applyBorder="1"/>
    <xf numFmtId="165" fontId="0" fillId="0" borderId="3" xfId="1" applyNumberFormat="1" applyFont="1" applyFill="1" applyBorder="1"/>
    <xf numFmtId="0" fontId="7" fillId="0" borderId="0" xfId="0" applyFont="1" applyFill="1"/>
    <xf numFmtId="0" fontId="5" fillId="0" borderId="5" xfId="0" applyFont="1" applyFill="1" applyBorder="1" applyAlignment="1">
      <alignment horizontal="left" vertical="center" wrapText="1"/>
    </xf>
    <xf numFmtId="165" fontId="0" fillId="0" borderId="5" xfId="1" applyNumberFormat="1" applyFont="1" applyFill="1" applyBorder="1"/>
    <xf numFmtId="0" fontId="12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5" fontId="0" fillId="0" borderId="1" xfId="0" applyNumberFormat="1" applyFill="1" applyBorder="1"/>
    <xf numFmtId="166" fontId="0" fillId="0" borderId="3" xfId="2" applyNumberFormat="1" applyFont="1" applyFill="1" applyBorder="1"/>
    <xf numFmtId="0" fontId="4" fillId="0" borderId="9" xfId="0" applyFont="1" applyFill="1" applyBorder="1" applyAlignment="1">
      <alignment horizontal="left" vertical="center"/>
    </xf>
    <xf numFmtId="9" fontId="0" fillId="0" borderId="10" xfId="4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1" xfId="1" applyNumberFormat="1" applyFont="1" applyFill="1" applyBorder="1" applyAlignment="1">
      <alignment horizontal="center"/>
    </xf>
    <xf numFmtId="0" fontId="0" fillId="0" borderId="0" xfId="0" quotePrefix="1" applyFill="1" applyAlignment="1">
      <alignment horizontal="left"/>
    </xf>
    <xf numFmtId="169" fontId="0" fillId="0" borderId="0" xfId="0" applyNumberFormat="1" applyFill="1"/>
    <xf numFmtId="170" fontId="0" fillId="0" borderId="0" xfId="1" applyNumberFormat="1" applyFont="1"/>
    <xf numFmtId="170" fontId="4" fillId="2" borderId="1" xfId="1" applyNumberFormat="1" applyFont="1" applyFill="1" applyBorder="1" applyAlignment="1">
      <alignment horizontal="center" vertical="center" wrapText="1"/>
    </xf>
    <xf numFmtId="170" fontId="5" fillId="2" borderId="1" xfId="1" applyNumberFormat="1" applyFont="1" applyFill="1" applyBorder="1" applyAlignment="1">
      <alignment horizontal="center" vertical="center" wrapText="1"/>
    </xf>
    <xf numFmtId="170" fontId="5" fillId="2" borderId="1" xfId="1" applyNumberFormat="1" applyFont="1" applyFill="1" applyBorder="1" applyAlignment="1">
      <alignment horizontal="right" vertical="center" wrapText="1"/>
    </xf>
    <xf numFmtId="43" fontId="0" fillId="0" borderId="0" xfId="1" applyNumberFormat="1" applyFont="1"/>
    <xf numFmtId="43" fontId="4" fillId="2" borderId="1" xfId="1" applyNumberFormat="1" applyFont="1" applyFill="1" applyBorder="1" applyAlignment="1">
      <alignment horizontal="center" vertical="center" wrapText="1"/>
    </xf>
    <xf numFmtId="43" fontId="5" fillId="2" borderId="1" xfId="1" applyNumberFormat="1" applyFont="1" applyFill="1" applyBorder="1" applyAlignment="1">
      <alignment horizontal="center" vertical="center" wrapText="1"/>
    </xf>
    <xf numFmtId="43" fontId="5" fillId="2" borderId="1" xfId="1" applyNumberFormat="1" applyFont="1" applyFill="1" applyBorder="1" applyAlignment="1">
      <alignment horizontal="right" vertical="center" wrapText="1"/>
    </xf>
    <xf numFmtId="165" fontId="0" fillId="0" borderId="6" xfId="1" applyNumberFormat="1" applyFont="1" applyFill="1" applyBorder="1"/>
    <xf numFmtId="171" fontId="0" fillId="0" borderId="0" xfId="0" applyNumberFormat="1"/>
    <xf numFmtId="171" fontId="4" fillId="2" borderId="1" xfId="1" applyNumberFormat="1" applyFont="1" applyFill="1" applyBorder="1" applyAlignment="1">
      <alignment horizontal="center" vertical="center" wrapText="1"/>
    </xf>
    <xf numFmtId="171" fontId="6" fillId="2" borderId="1" xfId="0" applyNumberFormat="1" applyFont="1" applyFill="1" applyBorder="1" applyAlignment="1">
      <alignment horizontal="right" vertical="center"/>
    </xf>
    <xf numFmtId="171" fontId="0" fillId="2" borderId="1" xfId="0" applyNumberFormat="1" applyFill="1" applyBorder="1" applyAlignment="1"/>
    <xf numFmtId="164" fontId="0" fillId="0" borderId="0" xfId="1" applyNumberFormat="1" applyFont="1"/>
    <xf numFmtId="164" fontId="4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170" fontId="9" fillId="0" borderId="1" xfId="1" applyNumberFormat="1" applyFont="1" applyBorder="1"/>
    <xf numFmtId="170" fontId="9" fillId="2" borderId="1" xfId="1" applyNumberFormat="1" applyFont="1" applyFill="1" applyBorder="1" applyAlignment="1"/>
    <xf numFmtId="170" fontId="6" fillId="2" borderId="1" xfId="1" applyNumberFormat="1" applyFont="1" applyFill="1" applyBorder="1" applyAlignment="1">
      <alignment horizontal="right" vertical="center" wrapText="1"/>
    </xf>
    <xf numFmtId="170" fontId="0" fillId="0" borderId="1" xfId="1" applyNumberFormat="1" applyFont="1" applyBorder="1"/>
    <xf numFmtId="170" fontId="0" fillId="0" borderId="1" xfId="1" applyNumberFormat="1" applyFont="1" applyFill="1" applyBorder="1"/>
    <xf numFmtId="170" fontId="6" fillId="2" borderId="1" xfId="1" applyNumberFormat="1" applyFont="1" applyFill="1" applyBorder="1" applyAlignment="1">
      <alignment horizontal="right" vertical="center"/>
    </xf>
    <xf numFmtId="170" fontId="0" fillId="0" borderId="1" xfId="1" applyNumberFormat="1" applyFont="1" applyBorder="1" applyAlignment="1"/>
    <xf numFmtId="170" fontId="0" fillId="2" borderId="1" xfId="1" applyNumberFormat="1" applyFont="1" applyFill="1" applyBorder="1" applyAlignment="1"/>
    <xf numFmtId="0" fontId="0" fillId="5" borderId="7" xfId="0" applyFill="1" applyBorder="1"/>
    <xf numFmtId="0" fontId="3" fillId="5" borderId="10" xfId="0" applyFont="1" applyFill="1" applyBorder="1" applyAlignment="1">
      <alignment horizontal="center" wrapText="1"/>
    </xf>
    <xf numFmtId="0" fontId="3" fillId="5" borderId="11" xfId="0" applyFont="1" applyFill="1" applyBorder="1" applyAlignment="1">
      <alignment horizontal="center" wrapText="1"/>
    </xf>
    <xf numFmtId="43" fontId="0" fillId="5" borderId="1" xfId="1" applyFont="1" applyFill="1" applyBorder="1"/>
    <xf numFmtId="44" fontId="0" fillId="5" borderId="5" xfId="2" applyFont="1" applyFill="1" applyBorder="1"/>
    <xf numFmtId="0" fontId="0" fillId="5" borderId="1" xfId="0" applyFill="1" applyBorder="1"/>
    <xf numFmtId="166" fontId="0" fillId="5" borderId="1" xfId="2" applyNumberFormat="1" applyFont="1" applyFill="1" applyBorder="1"/>
    <xf numFmtId="0" fontId="0" fillId="5" borderId="10" xfId="0" applyFill="1" applyBorder="1"/>
    <xf numFmtId="0" fontId="0" fillId="5" borderId="3" xfId="0" applyFill="1" applyBorder="1"/>
    <xf numFmtId="0" fontId="8" fillId="0" borderId="2" xfId="3" applyFill="1" applyBorder="1" applyAlignment="1">
      <alignment horizontal="center" vertical="center" wrapText="1"/>
    </xf>
    <xf numFmtId="0" fontId="8" fillId="0" borderId="4" xfId="3" applyFill="1" applyBorder="1" applyAlignment="1">
      <alignment horizontal="center" vertical="center" wrapText="1"/>
    </xf>
    <xf numFmtId="0" fontId="0" fillId="5" borderId="2" xfId="0" applyFill="1" applyBorder="1"/>
    <xf numFmtId="0" fontId="5" fillId="0" borderId="5" xfId="0" quotePrefix="1" applyFont="1" applyFill="1" applyBorder="1" applyAlignment="1">
      <alignment horizontal="left" vertical="center" wrapText="1"/>
    </xf>
    <xf numFmtId="165" fontId="0" fillId="3" borderId="1" xfId="1" applyNumberFormat="1" applyFont="1" applyFill="1" applyBorder="1"/>
    <xf numFmtId="0" fontId="12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65" fontId="0" fillId="6" borderId="1" xfId="1" applyNumberFormat="1" applyFont="1" applyFill="1" applyBorder="1"/>
    <xf numFmtId="165" fontId="0" fillId="6" borderId="3" xfId="1" applyNumberFormat="1" applyFont="1" applyFill="1" applyBorder="1"/>
    <xf numFmtId="0" fontId="14" fillId="4" borderId="1" xfId="0" applyFont="1" applyFill="1" applyBorder="1" applyAlignment="1">
      <alignment horizontal="left" vertical="center" wrapText="1"/>
    </xf>
    <xf numFmtId="165" fontId="0" fillId="4" borderId="1" xfId="1" applyNumberFormat="1" applyFont="1" applyFill="1" applyBorder="1"/>
    <xf numFmtId="165" fontId="0" fillId="7" borderId="1" xfId="1" applyNumberFormat="1" applyFont="1" applyFill="1" applyBorder="1"/>
    <xf numFmtId="165" fontId="0" fillId="7" borderId="3" xfId="1" applyNumberFormat="1" applyFont="1" applyFill="1" applyBorder="1"/>
    <xf numFmtId="0" fontId="3" fillId="0" borderId="0" xfId="0" applyFont="1" applyFill="1"/>
    <xf numFmtId="0" fontId="0" fillId="6" borderId="0" xfId="0" applyFill="1"/>
    <xf numFmtId="165" fontId="0" fillId="6" borderId="0" xfId="0" applyNumberFormat="1" applyFill="1"/>
    <xf numFmtId="9" fontId="0" fillId="6" borderId="0" xfId="4" applyFont="1" applyFill="1"/>
    <xf numFmtId="0" fontId="15" fillId="7" borderId="0" xfId="0" applyFont="1" applyFill="1"/>
    <xf numFmtId="165" fontId="15" fillId="7" borderId="0" xfId="0" applyNumberFormat="1" applyFont="1" applyFill="1"/>
    <xf numFmtId="168" fontId="15" fillId="7" borderId="0" xfId="4" applyNumberFormat="1" applyFont="1" applyFill="1"/>
    <xf numFmtId="0" fontId="3" fillId="6" borderId="1" xfId="0" applyFont="1" applyFill="1" applyBorder="1" applyAlignment="1">
      <alignment horizontal="center" wrapText="1"/>
    </xf>
    <xf numFmtId="172" fontId="0" fillId="0" borderId="1" xfId="0" applyNumberFormat="1" applyFont="1" applyBorder="1"/>
    <xf numFmtId="165" fontId="0" fillId="0" borderId="1" xfId="1" applyNumberFormat="1" applyFont="1" applyBorder="1"/>
    <xf numFmtId="9" fontId="0" fillId="0" borderId="1" xfId="4" applyFont="1" applyBorder="1"/>
    <xf numFmtId="172" fontId="16" fillId="0" borderId="1" xfId="0" applyNumberFormat="1" applyFont="1" applyBorder="1"/>
    <xf numFmtId="172" fontId="3" fillId="0" borderId="1" xfId="0" applyNumberFormat="1" applyFont="1" applyBorder="1"/>
    <xf numFmtId="165" fontId="3" fillId="0" borderId="1" xfId="0" applyNumberFormat="1" applyFont="1" applyBorder="1"/>
    <xf numFmtId="9" fontId="3" fillId="0" borderId="1" xfId="4" applyFont="1" applyBorder="1"/>
    <xf numFmtId="166" fontId="0" fillId="6" borderId="1" xfId="2" applyNumberFormat="1" applyFont="1" applyFill="1" applyBorder="1"/>
    <xf numFmtId="166" fontId="0" fillId="6" borderId="3" xfId="2" applyNumberFormat="1" applyFont="1" applyFill="1" applyBorder="1"/>
    <xf numFmtId="0" fontId="4" fillId="5" borderId="7" xfId="0" applyFont="1" applyFill="1" applyBorder="1" applyAlignment="1">
      <alignment horizontal="center" wrapText="1"/>
    </xf>
    <xf numFmtId="0" fontId="4" fillId="5" borderId="10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 wrapText="1"/>
    </xf>
    <xf numFmtId="0" fontId="4" fillId="5" borderId="13" xfId="0" applyFont="1" applyFill="1" applyBorder="1" applyAlignment="1">
      <alignment horizontal="center" wrapText="1"/>
    </xf>
  </cellXfs>
  <cellStyles count="5">
    <cellStyle name="Comma" xfId="1" builtinId="3"/>
    <cellStyle name="Currency" xfId="2" builtinId="4"/>
    <cellStyle name="Hyperlink" xfId="3" builtinId="8"/>
    <cellStyle name="Normal" xfId="0" builtinId="0"/>
    <cellStyle name="Percent" xfId="4" builtinId="5"/>
  </cellStyles>
  <dxfs count="1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30490</a:t>
            </a:r>
            <a:r>
              <a:rPr lang="en-US" sz="1400" baseline="0"/>
              <a:t> Director's Residence </a:t>
            </a:r>
            <a:r>
              <a:rPr lang="en-US" sz="1400"/>
              <a:t>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'30490'!$B$4:$B$70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'30490'!$D$4:$D$70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183.3</c:v>
                </c:pt>
                <c:pt idx="4">
                  <c:v>0</c:v>
                </c:pt>
                <c:pt idx="5">
                  <c:v>170.6</c:v>
                </c:pt>
                <c:pt idx="6">
                  <c:v>178.2</c:v>
                </c:pt>
                <c:pt idx="7">
                  <c:v>176.9</c:v>
                </c:pt>
                <c:pt idx="8">
                  <c:v>0</c:v>
                </c:pt>
                <c:pt idx="9">
                  <c:v>89.3</c:v>
                </c:pt>
                <c:pt idx="10">
                  <c:v>0</c:v>
                </c:pt>
                <c:pt idx="11">
                  <c:v>101.8</c:v>
                </c:pt>
                <c:pt idx="12">
                  <c:v>0</c:v>
                </c:pt>
                <c:pt idx="13">
                  <c:v>73.7</c:v>
                </c:pt>
                <c:pt idx="14">
                  <c:v>0</c:v>
                </c:pt>
                <c:pt idx="15">
                  <c:v>150.19999999999999</c:v>
                </c:pt>
                <c:pt idx="16">
                  <c:v>0</c:v>
                </c:pt>
                <c:pt idx="17">
                  <c:v>290.39999999999998</c:v>
                </c:pt>
                <c:pt idx="18">
                  <c:v>176.1</c:v>
                </c:pt>
                <c:pt idx="19">
                  <c:v>110.2</c:v>
                </c:pt>
                <c:pt idx="20">
                  <c:v>104</c:v>
                </c:pt>
                <c:pt idx="21">
                  <c:v>0</c:v>
                </c:pt>
                <c:pt idx="22">
                  <c:v>97.9</c:v>
                </c:pt>
                <c:pt idx="23">
                  <c:v>0</c:v>
                </c:pt>
                <c:pt idx="24">
                  <c:v>83.9</c:v>
                </c:pt>
                <c:pt idx="25">
                  <c:v>0</c:v>
                </c:pt>
                <c:pt idx="26">
                  <c:v>0</c:v>
                </c:pt>
                <c:pt idx="27">
                  <c:v>152.4</c:v>
                </c:pt>
                <c:pt idx="28">
                  <c:v>100</c:v>
                </c:pt>
                <c:pt idx="29">
                  <c:v>119</c:v>
                </c:pt>
                <c:pt idx="30">
                  <c:v>142.30000000000001</c:v>
                </c:pt>
                <c:pt idx="31">
                  <c:v>192.5</c:v>
                </c:pt>
                <c:pt idx="32">
                  <c:v>153.1</c:v>
                </c:pt>
                <c:pt idx="33">
                  <c:v>0</c:v>
                </c:pt>
                <c:pt idx="34">
                  <c:v>137.69999999999999</c:v>
                </c:pt>
                <c:pt idx="35">
                  <c:v>0</c:v>
                </c:pt>
                <c:pt idx="36">
                  <c:v>0</c:v>
                </c:pt>
                <c:pt idx="37">
                  <c:v>121.1</c:v>
                </c:pt>
                <c:pt idx="38">
                  <c:v>0</c:v>
                </c:pt>
                <c:pt idx="39">
                  <c:v>0</c:v>
                </c:pt>
                <c:pt idx="40">
                  <c:v>115.3</c:v>
                </c:pt>
                <c:pt idx="41">
                  <c:v>340.9</c:v>
                </c:pt>
                <c:pt idx="42">
                  <c:v>203.9</c:v>
                </c:pt>
                <c:pt idx="43">
                  <c:v>126.8</c:v>
                </c:pt>
                <c:pt idx="44">
                  <c:v>75.7</c:v>
                </c:pt>
                <c:pt idx="45">
                  <c:v>0</c:v>
                </c:pt>
                <c:pt idx="46">
                  <c:v>57.4</c:v>
                </c:pt>
                <c:pt idx="47">
                  <c:v>0</c:v>
                </c:pt>
                <c:pt idx="48">
                  <c:v>99.8</c:v>
                </c:pt>
                <c:pt idx="49">
                  <c:v>0</c:v>
                </c:pt>
                <c:pt idx="50">
                  <c:v>110</c:v>
                </c:pt>
                <c:pt idx="51">
                  <c:v>0</c:v>
                </c:pt>
                <c:pt idx="52">
                  <c:v>174</c:v>
                </c:pt>
                <c:pt idx="53">
                  <c:v>200</c:v>
                </c:pt>
                <c:pt idx="54">
                  <c:v>216</c:v>
                </c:pt>
                <c:pt idx="55">
                  <c:v>0</c:v>
                </c:pt>
                <c:pt idx="56">
                  <c:v>151</c:v>
                </c:pt>
                <c:pt idx="57">
                  <c:v>0</c:v>
                </c:pt>
                <c:pt idx="58">
                  <c:v>0</c:v>
                </c:pt>
                <c:pt idx="59">
                  <c:v>86</c:v>
                </c:pt>
                <c:pt idx="60">
                  <c:v>99</c:v>
                </c:pt>
                <c:pt idx="61">
                  <c:v>0</c:v>
                </c:pt>
                <c:pt idx="62">
                  <c:v>0</c:v>
                </c:pt>
                <c:pt idx="63">
                  <c:v>82</c:v>
                </c:pt>
                <c:pt idx="64">
                  <c:v>212</c:v>
                </c:pt>
                <c:pt idx="65">
                  <c:v>292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264768"/>
        <c:axId val="95266304"/>
      </c:lineChart>
      <c:dateAx>
        <c:axId val="9526476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95266304"/>
        <c:crosses val="autoZero"/>
        <c:auto val="1"/>
        <c:lblOffset val="100"/>
        <c:baseTimeUnit val="months"/>
      </c:dateAx>
      <c:valAx>
        <c:axId val="9526630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95264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634705631853861"/>
          <c:y val="8.1024331342230957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30490</a:t>
            </a:r>
            <a:r>
              <a:rPr lang="en-US" sz="800" baseline="0"/>
              <a:t> Director's Residence </a:t>
            </a:r>
            <a:r>
              <a:rPr lang="en-US" sz="800"/>
              <a:t>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'30490'!$B$4:$B$70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'30490'!$D$4:$D$70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183.3</c:v>
                </c:pt>
                <c:pt idx="4">
                  <c:v>0</c:v>
                </c:pt>
                <c:pt idx="5">
                  <c:v>170.6</c:v>
                </c:pt>
                <c:pt idx="6">
                  <c:v>178.2</c:v>
                </c:pt>
                <c:pt idx="7">
                  <c:v>176.9</c:v>
                </c:pt>
                <c:pt idx="8">
                  <c:v>0</c:v>
                </c:pt>
                <c:pt idx="9">
                  <c:v>89.3</c:v>
                </c:pt>
                <c:pt idx="10">
                  <c:v>0</c:v>
                </c:pt>
                <c:pt idx="11">
                  <c:v>101.8</c:v>
                </c:pt>
                <c:pt idx="12">
                  <c:v>0</c:v>
                </c:pt>
                <c:pt idx="13">
                  <c:v>73.7</c:v>
                </c:pt>
                <c:pt idx="14">
                  <c:v>0</c:v>
                </c:pt>
                <c:pt idx="15">
                  <c:v>150.19999999999999</c:v>
                </c:pt>
                <c:pt idx="16">
                  <c:v>0</c:v>
                </c:pt>
                <c:pt idx="17">
                  <c:v>290.39999999999998</c:v>
                </c:pt>
                <c:pt idx="18">
                  <c:v>176.1</c:v>
                </c:pt>
                <c:pt idx="19">
                  <c:v>110.2</c:v>
                </c:pt>
                <c:pt idx="20">
                  <c:v>104</c:v>
                </c:pt>
                <c:pt idx="21">
                  <c:v>0</c:v>
                </c:pt>
                <c:pt idx="22">
                  <c:v>97.9</c:v>
                </c:pt>
                <c:pt idx="23">
                  <c:v>0</c:v>
                </c:pt>
                <c:pt idx="24">
                  <c:v>83.9</c:v>
                </c:pt>
                <c:pt idx="25">
                  <c:v>0</c:v>
                </c:pt>
                <c:pt idx="26">
                  <c:v>0</c:v>
                </c:pt>
                <c:pt idx="27">
                  <c:v>152.4</c:v>
                </c:pt>
                <c:pt idx="28">
                  <c:v>100</c:v>
                </c:pt>
                <c:pt idx="29">
                  <c:v>119</c:v>
                </c:pt>
                <c:pt idx="30">
                  <c:v>142.30000000000001</c:v>
                </c:pt>
                <c:pt idx="31">
                  <c:v>192.5</c:v>
                </c:pt>
                <c:pt idx="32">
                  <c:v>153.1</c:v>
                </c:pt>
                <c:pt idx="33">
                  <c:v>0</c:v>
                </c:pt>
                <c:pt idx="34">
                  <c:v>137.69999999999999</c:v>
                </c:pt>
                <c:pt idx="35">
                  <c:v>0</c:v>
                </c:pt>
                <c:pt idx="36">
                  <c:v>0</c:v>
                </c:pt>
                <c:pt idx="37">
                  <c:v>121.1</c:v>
                </c:pt>
                <c:pt idx="38">
                  <c:v>0</c:v>
                </c:pt>
                <c:pt idx="39">
                  <c:v>0</c:v>
                </c:pt>
                <c:pt idx="40">
                  <c:v>115.3</c:v>
                </c:pt>
                <c:pt idx="41">
                  <c:v>340.9</c:v>
                </c:pt>
                <c:pt idx="42">
                  <c:v>203.9</c:v>
                </c:pt>
                <c:pt idx="43">
                  <c:v>126.8</c:v>
                </c:pt>
                <c:pt idx="44">
                  <c:v>75.7</c:v>
                </c:pt>
                <c:pt idx="45">
                  <c:v>0</c:v>
                </c:pt>
                <c:pt idx="46">
                  <c:v>57.4</c:v>
                </c:pt>
                <c:pt idx="47">
                  <c:v>0</c:v>
                </c:pt>
                <c:pt idx="48">
                  <c:v>99.8</c:v>
                </c:pt>
                <c:pt idx="49">
                  <c:v>0</c:v>
                </c:pt>
                <c:pt idx="50">
                  <c:v>110</c:v>
                </c:pt>
                <c:pt idx="51">
                  <c:v>0</c:v>
                </c:pt>
                <c:pt idx="52">
                  <c:v>174</c:v>
                </c:pt>
                <c:pt idx="53">
                  <c:v>200</c:v>
                </c:pt>
                <c:pt idx="54">
                  <c:v>216</c:v>
                </c:pt>
                <c:pt idx="55">
                  <c:v>0</c:v>
                </c:pt>
                <c:pt idx="56">
                  <c:v>151</c:v>
                </c:pt>
                <c:pt idx="57">
                  <c:v>0</c:v>
                </c:pt>
                <c:pt idx="58">
                  <c:v>0</c:v>
                </c:pt>
                <c:pt idx="59">
                  <c:v>86</c:v>
                </c:pt>
                <c:pt idx="60">
                  <c:v>99</c:v>
                </c:pt>
                <c:pt idx="61">
                  <c:v>0</c:v>
                </c:pt>
                <c:pt idx="62">
                  <c:v>0</c:v>
                </c:pt>
                <c:pt idx="63">
                  <c:v>82</c:v>
                </c:pt>
                <c:pt idx="64">
                  <c:v>212</c:v>
                </c:pt>
                <c:pt idx="65">
                  <c:v>292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286784"/>
        <c:axId val="95288320"/>
      </c:lineChart>
      <c:dateAx>
        <c:axId val="9528678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5288320"/>
        <c:crosses val="autoZero"/>
        <c:auto val="1"/>
        <c:lblOffset val="100"/>
        <c:baseTimeUnit val="months"/>
      </c:dateAx>
      <c:valAx>
        <c:axId val="9528832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5286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30491 S 9 &amp; 10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'30491'!$B$4:$B$70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'30491'!$D$4:$D$70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229.5</c:v>
                </c:pt>
                <c:pt idx="2">
                  <c:v>248</c:v>
                </c:pt>
                <c:pt idx="3">
                  <c:v>904.8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335.4</c:v>
                </c:pt>
                <c:pt idx="9">
                  <c:v>0</c:v>
                </c:pt>
                <c:pt idx="10">
                  <c:v>0</c:v>
                </c:pt>
                <c:pt idx="11">
                  <c:v>246.7</c:v>
                </c:pt>
                <c:pt idx="12">
                  <c:v>231.1</c:v>
                </c:pt>
                <c:pt idx="13">
                  <c:v>207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363.7</c:v>
                </c:pt>
                <c:pt idx="19">
                  <c:v>0</c:v>
                </c:pt>
                <c:pt idx="20">
                  <c:v>0</c:v>
                </c:pt>
                <c:pt idx="21">
                  <c:v>124.3</c:v>
                </c:pt>
                <c:pt idx="22">
                  <c:v>564.70000000000005</c:v>
                </c:pt>
                <c:pt idx="23">
                  <c:v>0</c:v>
                </c:pt>
                <c:pt idx="24">
                  <c:v>0</c:v>
                </c:pt>
                <c:pt idx="25">
                  <c:v>204</c:v>
                </c:pt>
                <c:pt idx="26">
                  <c:v>106.4</c:v>
                </c:pt>
                <c:pt idx="27">
                  <c:v>1048.5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307.60000000000002</c:v>
                </c:pt>
                <c:pt idx="35">
                  <c:v>383.8</c:v>
                </c:pt>
                <c:pt idx="36">
                  <c:v>0</c:v>
                </c:pt>
                <c:pt idx="37">
                  <c:v>550.6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462.8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186.6</c:v>
                </c:pt>
                <c:pt idx="47">
                  <c:v>265.60000000000002</c:v>
                </c:pt>
                <c:pt idx="48">
                  <c:v>289.3</c:v>
                </c:pt>
                <c:pt idx="49">
                  <c:v>511</c:v>
                </c:pt>
                <c:pt idx="50">
                  <c:v>836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408</c:v>
                </c:pt>
                <c:pt idx="55">
                  <c:v>890</c:v>
                </c:pt>
                <c:pt idx="56">
                  <c:v>241</c:v>
                </c:pt>
                <c:pt idx="57">
                  <c:v>129</c:v>
                </c:pt>
                <c:pt idx="58">
                  <c:v>0</c:v>
                </c:pt>
                <c:pt idx="59">
                  <c:v>429</c:v>
                </c:pt>
                <c:pt idx="60">
                  <c:v>335</c:v>
                </c:pt>
                <c:pt idx="61">
                  <c:v>0</c:v>
                </c:pt>
                <c:pt idx="62">
                  <c:v>388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997888"/>
        <c:axId val="73032448"/>
      </c:lineChart>
      <c:dateAx>
        <c:axId val="7299788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3032448"/>
        <c:crosses val="autoZero"/>
        <c:auto val="1"/>
        <c:lblOffset val="100"/>
        <c:baseTimeUnit val="months"/>
      </c:dateAx>
      <c:valAx>
        <c:axId val="730324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2997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 30491 S 9 &amp; 10 Propane Purchases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'30491'!$B$4:$B$70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'30491'!$D$4:$D$70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229.5</c:v>
                </c:pt>
                <c:pt idx="2">
                  <c:v>248</c:v>
                </c:pt>
                <c:pt idx="3">
                  <c:v>904.8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335.4</c:v>
                </c:pt>
                <c:pt idx="9">
                  <c:v>0</c:v>
                </c:pt>
                <c:pt idx="10">
                  <c:v>0</c:v>
                </c:pt>
                <c:pt idx="11">
                  <c:v>246.7</c:v>
                </c:pt>
                <c:pt idx="12">
                  <c:v>231.1</c:v>
                </c:pt>
                <c:pt idx="13">
                  <c:v>207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363.7</c:v>
                </c:pt>
                <c:pt idx="19">
                  <c:v>0</c:v>
                </c:pt>
                <c:pt idx="20">
                  <c:v>0</c:v>
                </c:pt>
                <c:pt idx="21">
                  <c:v>124.3</c:v>
                </c:pt>
                <c:pt idx="22">
                  <c:v>564.70000000000005</c:v>
                </c:pt>
                <c:pt idx="23">
                  <c:v>0</c:v>
                </c:pt>
                <c:pt idx="24">
                  <c:v>0</c:v>
                </c:pt>
                <c:pt idx="25">
                  <c:v>204</c:v>
                </c:pt>
                <c:pt idx="26">
                  <c:v>106.4</c:v>
                </c:pt>
                <c:pt idx="27">
                  <c:v>1048.5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307.60000000000002</c:v>
                </c:pt>
                <c:pt idx="35">
                  <c:v>383.8</c:v>
                </c:pt>
                <c:pt idx="36">
                  <c:v>0</c:v>
                </c:pt>
                <c:pt idx="37">
                  <c:v>550.6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462.8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186.6</c:v>
                </c:pt>
                <c:pt idx="47">
                  <c:v>265.60000000000002</c:v>
                </c:pt>
                <c:pt idx="48">
                  <c:v>289.3</c:v>
                </c:pt>
                <c:pt idx="49">
                  <c:v>511</c:v>
                </c:pt>
                <c:pt idx="50">
                  <c:v>836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408</c:v>
                </c:pt>
                <c:pt idx="55">
                  <c:v>890</c:v>
                </c:pt>
                <c:pt idx="56">
                  <c:v>241</c:v>
                </c:pt>
                <c:pt idx="57">
                  <c:v>129</c:v>
                </c:pt>
                <c:pt idx="58">
                  <c:v>0</c:v>
                </c:pt>
                <c:pt idx="59">
                  <c:v>429</c:v>
                </c:pt>
                <c:pt idx="60">
                  <c:v>335</c:v>
                </c:pt>
                <c:pt idx="61">
                  <c:v>0</c:v>
                </c:pt>
                <c:pt idx="62">
                  <c:v>388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065216"/>
        <c:axId val="73066752"/>
      </c:lineChart>
      <c:dateAx>
        <c:axId val="7306521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3066752"/>
        <c:crosses val="autoZero"/>
        <c:auto val="1"/>
        <c:lblOffset val="100"/>
        <c:baseTimeUnit val="months"/>
      </c:dateAx>
      <c:valAx>
        <c:axId val="7306675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306521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30492</a:t>
            </a:r>
            <a:r>
              <a:rPr lang="en-US" sz="1400" baseline="0"/>
              <a:t> Ed Center</a:t>
            </a:r>
            <a:r>
              <a:rPr lang="en-US" sz="1400"/>
              <a:t>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'30492'!$B$4:$B$70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'30492'!$D$4:$D$70</c:f>
              <c:numCache>
                <c:formatCode>_(* #,##0.0_);_(* \(#,##0.0\);_(* "-"??_);_(@_)</c:formatCode>
                <c:ptCount val="67"/>
                <c:pt idx="0">
                  <c:v>61.3</c:v>
                </c:pt>
                <c:pt idx="1">
                  <c:v>45</c:v>
                </c:pt>
                <c:pt idx="2">
                  <c:v>34.9</c:v>
                </c:pt>
                <c:pt idx="3">
                  <c:v>298.8</c:v>
                </c:pt>
                <c:pt idx="4">
                  <c:v>440</c:v>
                </c:pt>
                <c:pt idx="5">
                  <c:v>699.9</c:v>
                </c:pt>
                <c:pt idx="6">
                  <c:v>625.70000000000005</c:v>
                </c:pt>
                <c:pt idx="7">
                  <c:v>443.9</c:v>
                </c:pt>
                <c:pt idx="8">
                  <c:v>0</c:v>
                </c:pt>
                <c:pt idx="9">
                  <c:v>245.7</c:v>
                </c:pt>
                <c:pt idx="10">
                  <c:v>0</c:v>
                </c:pt>
                <c:pt idx="11">
                  <c:v>0</c:v>
                </c:pt>
                <c:pt idx="12">
                  <c:v>98.7</c:v>
                </c:pt>
                <c:pt idx="13">
                  <c:v>0</c:v>
                </c:pt>
                <c:pt idx="14">
                  <c:v>342.2</c:v>
                </c:pt>
                <c:pt idx="15">
                  <c:v>580.4</c:v>
                </c:pt>
                <c:pt idx="16">
                  <c:v>0</c:v>
                </c:pt>
                <c:pt idx="17">
                  <c:v>1128.9000000000001</c:v>
                </c:pt>
                <c:pt idx="18">
                  <c:v>772.3</c:v>
                </c:pt>
                <c:pt idx="19">
                  <c:v>550.1</c:v>
                </c:pt>
                <c:pt idx="20">
                  <c:v>215.3</c:v>
                </c:pt>
                <c:pt idx="21">
                  <c:v>96.8</c:v>
                </c:pt>
                <c:pt idx="22">
                  <c:v>104.9</c:v>
                </c:pt>
                <c:pt idx="23">
                  <c:v>0</c:v>
                </c:pt>
                <c:pt idx="24">
                  <c:v>47.7</c:v>
                </c:pt>
                <c:pt idx="25">
                  <c:v>106.3</c:v>
                </c:pt>
                <c:pt idx="26">
                  <c:v>98.7</c:v>
                </c:pt>
                <c:pt idx="27">
                  <c:v>2724.9</c:v>
                </c:pt>
                <c:pt idx="28">
                  <c:v>1267.1999999999998</c:v>
                </c:pt>
                <c:pt idx="29">
                  <c:v>1538</c:v>
                </c:pt>
                <c:pt idx="30">
                  <c:v>2738.5</c:v>
                </c:pt>
                <c:pt idx="31">
                  <c:v>484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1426.4</c:v>
                </c:pt>
                <c:pt idx="36">
                  <c:v>1122.4000000000001</c:v>
                </c:pt>
                <c:pt idx="37">
                  <c:v>1170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127.2</c:v>
                </c:pt>
                <c:pt idx="47">
                  <c:v>911.6</c:v>
                </c:pt>
                <c:pt idx="48">
                  <c:v>1035.0999999999999</c:v>
                </c:pt>
                <c:pt idx="49">
                  <c:v>816.90000000000009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342</c:v>
                </c:pt>
                <c:pt idx="59">
                  <c:v>954</c:v>
                </c:pt>
                <c:pt idx="60">
                  <c:v>1078</c:v>
                </c:pt>
                <c:pt idx="61">
                  <c:v>875</c:v>
                </c:pt>
                <c:pt idx="62">
                  <c:v>158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105408"/>
        <c:axId val="73106944"/>
      </c:lineChart>
      <c:dateAx>
        <c:axId val="7310540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3106944"/>
        <c:crosses val="autoZero"/>
        <c:auto val="1"/>
        <c:lblOffset val="100"/>
        <c:baseTimeUnit val="months"/>
      </c:dateAx>
      <c:valAx>
        <c:axId val="7310694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3105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30492</a:t>
            </a:r>
            <a:r>
              <a:rPr lang="en-US" sz="800" baseline="0"/>
              <a:t> Ed Center</a:t>
            </a:r>
            <a:r>
              <a:rPr lang="en-US" sz="800"/>
              <a:t>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'30492'!$B$4:$B$70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'30492'!$D$4:$D$70</c:f>
              <c:numCache>
                <c:formatCode>_(* #,##0.0_);_(* \(#,##0.0\);_(* "-"??_);_(@_)</c:formatCode>
                <c:ptCount val="67"/>
                <c:pt idx="0">
                  <c:v>61.3</c:v>
                </c:pt>
                <c:pt idx="1">
                  <c:v>45</c:v>
                </c:pt>
                <c:pt idx="2">
                  <c:v>34.9</c:v>
                </c:pt>
                <c:pt idx="3">
                  <c:v>298.8</c:v>
                </c:pt>
                <c:pt idx="4">
                  <c:v>440</c:v>
                </c:pt>
                <c:pt idx="5">
                  <c:v>699.9</c:v>
                </c:pt>
                <c:pt idx="6">
                  <c:v>625.70000000000005</c:v>
                </c:pt>
                <c:pt idx="7">
                  <c:v>443.9</c:v>
                </c:pt>
                <c:pt idx="8">
                  <c:v>0</c:v>
                </c:pt>
                <c:pt idx="9">
                  <c:v>245.7</c:v>
                </c:pt>
                <c:pt idx="10">
                  <c:v>0</c:v>
                </c:pt>
                <c:pt idx="11">
                  <c:v>0</c:v>
                </c:pt>
                <c:pt idx="12">
                  <c:v>98.7</c:v>
                </c:pt>
                <c:pt idx="13">
                  <c:v>0</c:v>
                </c:pt>
                <c:pt idx="14">
                  <c:v>342.2</c:v>
                </c:pt>
                <c:pt idx="15">
                  <c:v>580.4</c:v>
                </c:pt>
                <c:pt idx="16">
                  <c:v>0</c:v>
                </c:pt>
                <c:pt idx="17">
                  <c:v>1128.9000000000001</c:v>
                </c:pt>
                <c:pt idx="18">
                  <c:v>772.3</c:v>
                </c:pt>
                <c:pt idx="19">
                  <c:v>550.1</c:v>
                </c:pt>
                <c:pt idx="20">
                  <c:v>215.3</c:v>
                </c:pt>
                <c:pt idx="21">
                  <c:v>96.8</c:v>
                </c:pt>
                <c:pt idx="22">
                  <c:v>104.9</c:v>
                </c:pt>
                <c:pt idx="23">
                  <c:v>0</c:v>
                </c:pt>
                <c:pt idx="24">
                  <c:v>47.7</c:v>
                </c:pt>
                <c:pt idx="25">
                  <c:v>106.3</c:v>
                </c:pt>
                <c:pt idx="26">
                  <c:v>98.7</c:v>
                </c:pt>
                <c:pt idx="27">
                  <c:v>2724.9</c:v>
                </c:pt>
                <c:pt idx="28">
                  <c:v>1267.1999999999998</c:v>
                </c:pt>
                <c:pt idx="29">
                  <c:v>1538</c:v>
                </c:pt>
                <c:pt idx="30">
                  <c:v>2738.5</c:v>
                </c:pt>
                <c:pt idx="31">
                  <c:v>484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1426.4</c:v>
                </c:pt>
                <c:pt idx="36">
                  <c:v>1122.4000000000001</c:v>
                </c:pt>
                <c:pt idx="37">
                  <c:v>1170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127.2</c:v>
                </c:pt>
                <c:pt idx="47">
                  <c:v>911.6</c:v>
                </c:pt>
                <c:pt idx="48">
                  <c:v>1035.0999999999999</c:v>
                </c:pt>
                <c:pt idx="49">
                  <c:v>816.90000000000009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342</c:v>
                </c:pt>
                <c:pt idx="59">
                  <c:v>954</c:v>
                </c:pt>
                <c:pt idx="60">
                  <c:v>1078</c:v>
                </c:pt>
                <c:pt idx="61">
                  <c:v>875</c:v>
                </c:pt>
                <c:pt idx="62">
                  <c:v>158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127808"/>
        <c:axId val="73129344"/>
      </c:lineChart>
      <c:dateAx>
        <c:axId val="7312780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129344"/>
        <c:crosses val="autoZero"/>
        <c:auto val="1"/>
        <c:lblOffset val="100"/>
        <c:baseTimeUnit val="months"/>
      </c:dateAx>
      <c:valAx>
        <c:axId val="7312934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127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30493 Food Service Director's Residence </a:t>
            </a:r>
          </a:p>
          <a:p>
            <a:pPr>
              <a:defRPr sz="1400"/>
            </a:pPr>
            <a:r>
              <a:rPr lang="en-US" sz="1400"/>
              <a:t>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'30493'!$B$4:$B$70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'30493'!$D$4:$D$70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198.3</c:v>
                </c:pt>
                <c:pt idx="4">
                  <c:v>0</c:v>
                </c:pt>
                <c:pt idx="5">
                  <c:v>127.6</c:v>
                </c:pt>
                <c:pt idx="6">
                  <c:v>132.80000000000001</c:v>
                </c:pt>
                <c:pt idx="7">
                  <c:v>167.4</c:v>
                </c:pt>
                <c:pt idx="8">
                  <c:v>0</c:v>
                </c:pt>
                <c:pt idx="9">
                  <c:v>112.9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76</c:v>
                </c:pt>
                <c:pt idx="15">
                  <c:v>134.9</c:v>
                </c:pt>
                <c:pt idx="16">
                  <c:v>0</c:v>
                </c:pt>
                <c:pt idx="17">
                  <c:v>266.2</c:v>
                </c:pt>
                <c:pt idx="18">
                  <c:v>149.30000000000001</c:v>
                </c:pt>
                <c:pt idx="19">
                  <c:v>170.1</c:v>
                </c:pt>
                <c:pt idx="20">
                  <c:v>0</c:v>
                </c:pt>
                <c:pt idx="21">
                  <c:v>70.7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31</c:v>
                </c:pt>
                <c:pt idx="26">
                  <c:v>48.6</c:v>
                </c:pt>
                <c:pt idx="27">
                  <c:v>81.099999999999994</c:v>
                </c:pt>
                <c:pt idx="28">
                  <c:v>160</c:v>
                </c:pt>
                <c:pt idx="29">
                  <c:v>0</c:v>
                </c:pt>
                <c:pt idx="30">
                  <c:v>301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111.7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104.6</c:v>
                </c:pt>
                <c:pt idx="39">
                  <c:v>0</c:v>
                </c:pt>
                <c:pt idx="40">
                  <c:v>0</c:v>
                </c:pt>
                <c:pt idx="41">
                  <c:v>236.3</c:v>
                </c:pt>
                <c:pt idx="42">
                  <c:v>114.8</c:v>
                </c:pt>
                <c:pt idx="43">
                  <c:v>120.2</c:v>
                </c:pt>
                <c:pt idx="44">
                  <c:v>0</c:v>
                </c:pt>
                <c:pt idx="45">
                  <c:v>0</c:v>
                </c:pt>
                <c:pt idx="46">
                  <c:v>65.599999999999994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113</c:v>
                </c:pt>
                <c:pt idx="51">
                  <c:v>0</c:v>
                </c:pt>
                <c:pt idx="52">
                  <c:v>188</c:v>
                </c:pt>
                <c:pt idx="53">
                  <c:v>171</c:v>
                </c:pt>
                <c:pt idx="54">
                  <c:v>123</c:v>
                </c:pt>
                <c:pt idx="55">
                  <c:v>109</c:v>
                </c:pt>
                <c:pt idx="56">
                  <c:v>142</c:v>
                </c:pt>
                <c:pt idx="57">
                  <c:v>0</c:v>
                </c:pt>
                <c:pt idx="58">
                  <c:v>0</c:v>
                </c:pt>
                <c:pt idx="59">
                  <c:v>135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104</c:v>
                </c:pt>
                <c:pt idx="64">
                  <c:v>202</c:v>
                </c:pt>
                <c:pt idx="65">
                  <c:v>235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68224"/>
        <c:axId val="72782592"/>
      </c:lineChart>
      <c:dateAx>
        <c:axId val="7326822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2782592"/>
        <c:crosses val="autoZero"/>
        <c:auto val="1"/>
        <c:lblOffset val="100"/>
        <c:baseTimeUnit val="months"/>
      </c:dateAx>
      <c:valAx>
        <c:axId val="7278259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3268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8477182498714"/>
          <c:y val="0.10138059262900313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30493 Food Service Director's Residence </a:t>
            </a:r>
          </a:p>
          <a:p>
            <a:pPr>
              <a:defRPr sz="800"/>
            </a:pPr>
            <a:r>
              <a:rPr lang="en-US" sz="800"/>
              <a:t>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'30493'!$B$4:$B$70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'30493'!$D$4:$D$70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198.3</c:v>
                </c:pt>
                <c:pt idx="4">
                  <c:v>0</c:v>
                </c:pt>
                <c:pt idx="5">
                  <c:v>127.6</c:v>
                </c:pt>
                <c:pt idx="6">
                  <c:v>132.80000000000001</c:v>
                </c:pt>
                <c:pt idx="7">
                  <c:v>167.4</c:v>
                </c:pt>
                <c:pt idx="8">
                  <c:v>0</c:v>
                </c:pt>
                <c:pt idx="9">
                  <c:v>112.9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76</c:v>
                </c:pt>
                <c:pt idx="15">
                  <c:v>134.9</c:v>
                </c:pt>
                <c:pt idx="16">
                  <c:v>0</c:v>
                </c:pt>
                <c:pt idx="17">
                  <c:v>266.2</c:v>
                </c:pt>
                <c:pt idx="18">
                  <c:v>149.30000000000001</c:v>
                </c:pt>
                <c:pt idx="19">
                  <c:v>170.1</c:v>
                </c:pt>
                <c:pt idx="20">
                  <c:v>0</c:v>
                </c:pt>
                <c:pt idx="21">
                  <c:v>70.7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31</c:v>
                </c:pt>
                <c:pt idx="26">
                  <c:v>48.6</c:v>
                </c:pt>
                <c:pt idx="27">
                  <c:v>81.099999999999994</c:v>
                </c:pt>
                <c:pt idx="28">
                  <c:v>160</c:v>
                </c:pt>
                <c:pt idx="29">
                  <c:v>0</c:v>
                </c:pt>
                <c:pt idx="30">
                  <c:v>301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111.7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104.6</c:v>
                </c:pt>
                <c:pt idx="39">
                  <c:v>0</c:v>
                </c:pt>
                <c:pt idx="40">
                  <c:v>0</c:v>
                </c:pt>
                <c:pt idx="41">
                  <c:v>236.3</c:v>
                </c:pt>
                <c:pt idx="42">
                  <c:v>114.8</c:v>
                </c:pt>
                <c:pt idx="43">
                  <c:v>120.2</c:v>
                </c:pt>
                <c:pt idx="44">
                  <c:v>0</c:v>
                </c:pt>
                <c:pt idx="45">
                  <c:v>0</c:v>
                </c:pt>
                <c:pt idx="46">
                  <c:v>65.599999999999994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113</c:v>
                </c:pt>
                <c:pt idx="51">
                  <c:v>0</c:v>
                </c:pt>
                <c:pt idx="52">
                  <c:v>188</c:v>
                </c:pt>
                <c:pt idx="53">
                  <c:v>171</c:v>
                </c:pt>
                <c:pt idx="54">
                  <c:v>123</c:v>
                </c:pt>
                <c:pt idx="55">
                  <c:v>109</c:v>
                </c:pt>
                <c:pt idx="56">
                  <c:v>142</c:v>
                </c:pt>
                <c:pt idx="57">
                  <c:v>0</c:v>
                </c:pt>
                <c:pt idx="58">
                  <c:v>0</c:v>
                </c:pt>
                <c:pt idx="59">
                  <c:v>135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104</c:v>
                </c:pt>
                <c:pt idx="64">
                  <c:v>202</c:v>
                </c:pt>
                <c:pt idx="65">
                  <c:v>235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075328"/>
        <c:axId val="73253248"/>
      </c:lineChart>
      <c:dateAx>
        <c:axId val="7307532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253248"/>
        <c:crosses val="autoZero"/>
        <c:auto val="1"/>
        <c:lblOffset val="100"/>
        <c:baseTimeUnit val="months"/>
      </c:dateAx>
      <c:valAx>
        <c:axId val="732532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075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30494</a:t>
            </a:r>
            <a:r>
              <a:rPr lang="en-US" sz="1400" baseline="0"/>
              <a:t> N 2</a:t>
            </a:r>
            <a:r>
              <a:rPr lang="en-US" sz="1400"/>
              <a:t>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'30494'!$B$4:$B$70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'30494'!$D$4:$D$70</c:f>
              <c:numCache>
                <c:formatCode>_(* #,##0.0_);_(* \(#,##0.0\);_(* "-"??_);_(@_)</c:formatCode>
                <c:ptCount val="67"/>
                <c:pt idx="0">
                  <c:v>204.6</c:v>
                </c:pt>
                <c:pt idx="1">
                  <c:v>0</c:v>
                </c:pt>
                <c:pt idx="2">
                  <c:v>0</c:v>
                </c:pt>
                <c:pt idx="3">
                  <c:v>1197.9000000000001</c:v>
                </c:pt>
                <c:pt idx="4">
                  <c:v>184.5</c:v>
                </c:pt>
                <c:pt idx="5">
                  <c:v>550.4</c:v>
                </c:pt>
                <c:pt idx="6">
                  <c:v>825.1</c:v>
                </c:pt>
                <c:pt idx="7">
                  <c:v>0</c:v>
                </c:pt>
                <c:pt idx="8">
                  <c:v>349.2</c:v>
                </c:pt>
                <c:pt idx="9">
                  <c:v>0</c:v>
                </c:pt>
                <c:pt idx="10">
                  <c:v>0</c:v>
                </c:pt>
                <c:pt idx="11">
                  <c:v>324.60000000000002</c:v>
                </c:pt>
                <c:pt idx="12">
                  <c:v>0</c:v>
                </c:pt>
                <c:pt idx="13">
                  <c:v>0</c:v>
                </c:pt>
                <c:pt idx="14">
                  <c:v>166.3</c:v>
                </c:pt>
                <c:pt idx="15">
                  <c:v>456.1</c:v>
                </c:pt>
                <c:pt idx="16">
                  <c:v>0</c:v>
                </c:pt>
                <c:pt idx="17">
                  <c:v>873.3</c:v>
                </c:pt>
                <c:pt idx="18">
                  <c:v>406.56</c:v>
                </c:pt>
                <c:pt idx="19">
                  <c:v>637.79999999999995</c:v>
                </c:pt>
                <c:pt idx="20">
                  <c:v>0</c:v>
                </c:pt>
                <c:pt idx="21">
                  <c:v>0</c:v>
                </c:pt>
                <c:pt idx="22">
                  <c:v>154.1</c:v>
                </c:pt>
                <c:pt idx="23">
                  <c:v>98</c:v>
                </c:pt>
                <c:pt idx="24">
                  <c:v>0</c:v>
                </c:pt>
                <c:pt idx="25">
                  <c:v>103.9</c:v>
                </c:pt>
                <c:pt idx="26">
                  <c:v>143.19999999999999</c:v>
                </c:pt>
                <c:pt idx="27">
                  <c:v>169</c:v>
                </c:pt>
                <c:pt idx="28">
                  <c:v>440.8</c:v>
                </c:pt>
                <c:pt idx="29">
                  <c:v>388.9</c:v>
                </c:pt>
                <c:pt idx="30">
                  <c:v>750.1</c:v>
                </c:pt>
                <c:pt idx="31">
                  <c:v>0</c:v>
                </c:pt>
                <c:pt idx="32">
                  <c:v>379.7</c:v>
                </c:pt>
                <c:pt idx="33">
                  <c:v>0</c:v>
                </c:pt>
                <c:pt idx="34">
                  <c:v>167.8</c:v>
                </c:pt>
                <c:pt idx="35">
                  <c:v>268.60000000000002</c:v>
                </c:pt>
                <c:pt idx="36">
                  <c:v>198.6</c:v>
                </c:pt>
                <c:pt idx="37">
                  <c:v>0</c:v>
                </c:pt>
                <c:pt idx="38">
                  <c:v>237</c:v>
                </c:pt>
                <c:pt idx="39">
                  <c:v>0</c:v>
                </c:pt>
                <c:pt idx="40">
                  <c:v>448</c:v>
                </c:pt>
                <c:pt idx="41">
                  <c:v>1097.7</c:v>
                </c:pt>
                <c:pt idx="42">
                  <c:v>469.8</c:v>
                </c:pt>
                <c:pt idx="43">
                  <c:v>371.4</c:v>
                </c:pt>
                <c:pt idx="44">
                  <c:v>220.1</c:v>
                </c:pt>
                <c:pt idx="45">
                  <c:v>125.9</c:v>
                </c:pt>
                <c:pt idx="46">
                  <c:v>0</c:v>
                </c:pt>
                <c:pt idx="47">
                  <c:v>169.9</c:v>
                </c:pt>
                <c:pt idx="48">
                  <c:v>212.2</c:v>
                </c:pt>
                <c:pt idx="49">
                  <c:v>255.5</c:v>
                </c:pt>
                <c:pt idx="50">
                  <c:v>0</c:v>
                </c:pt>
                <c:pt idx="51">
                  <c:v>205</c:v>
                </c:pt>
                <c:pt idx="52">
                  <c:v>549</c:v>
                </c:pt>
                <c:pt idx="53">
                  <c:v>576</c:v>
                </c:pt>
                <c:pt idx="54">
                  <c:v>409</c:v>
                </c:pt>
                <c:pt idx="55">
                  <c:v>447</c:v>
                </c:pt>
                <c:pt idx="56">
                  <c:v>373</c:v>
                </c:pt>
                <c:pt idx="57">
                  <c:v>0</c:v>
                </c:pt>
                <c:pt idx="58">
                  <c:v>0</c:v>
                </c:pt>
                <c:pt idx="59">
                  <c:v>238</c:v>
                </c:pt>
                <c:pt idx="60">
                  <c:v>250</c:v>
                </c:pt>
                <c:pt idx="61">
                  <c:v>0</c:v>
                </c:pt>
                <c:pt idx="62">
                  <c:v>0</c:v>
                </c:pt>
                <c:pt idx="63">
                  <c:v>214</c:v>
                </c:pt>
                <c:pt idx="64">
                  <c:v>495</c:v>
                </c:pt>
                <c:pt idx="65">
                  <c:v>765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896896"/>
        <c:axId val="72898432"/>
      </c:lineChart>
      <c:dateAx>
        <c:axId val="7289689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2898432"/>
        <c:crosses val="autoZero"/>
        <c:auto val="1"/>
        <c:lblOffset val="100"/>
        <c:baseTimeUnit val="months"/>
      </c:dateAx>
      <c:valAx>
        <c:axId val="7289843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2896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30494</a:t>
            </a:r>
            <a:r>
              <a:rPr lang="en-US" sz="800" baseline="0"/>
              <a:t> N 2</a:t>
            </a:r>
            <a:r>
              <a:rPr lang="en-US" sz="800"/>
              <a:t>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'30494'!$B$4:$B$70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'30494'!$D$4:$D$70</c:f>
              <c:numCache>
                <c:formatCode>_(* #,##0.0_);_(* \(#,##0.0\);_(* "-"??_);_(@_)</c:formatCode>
                <c:ptCount val="67"/>
                <c:pt idx="0">
                  <c:v>204.6</c:v>
                </c:pt>
                <c:pt idx="1">
                  <c:v>0</c:v>
                </c:pt>
                <c:pt idx="2">
                  <c:v>0</c:v>
                </c:pt>
                <c:pt idx="3">
                  <c:v>1197.9000000000001</c:v>
                </c:pt>
                <c:pt idx="4">
                  <c:v>184.5</c:v>
                </c:pt>
                <c:pt idx="5">
                  <c:v>550.4</c:v>
                </c:pt>
                <c:pt idx="6">
                  <c:v>825.1</c:v>
                </c:pt>
                <c:pt idx="7">
                  <c:v>0</c:v>
                </c:pt>
                <c:pt idx="8">
                  <c:v>349.2</c:v>
                </c:pt>
                <c:pt idx="9">
                  <c:v>0</c:v>
                </c:pt>
                <c:pt idx="10">
                  <c:v>0</c:v>
                </c:pt>
                <c:pt idx="11">
                  <c:v>324.60000000000002</c:v>
                </c:pt>
                <c:pt idx="12">
                  <c:v>0</c:v>
                </c:pt>
                <c:pt idx="13">
                  <c:v>0</c:v>
                </c:pt>
                <c:pt idx="14">
                  <c:v>166.3</c:v>
                </c:pt>
                <c:pt idx="15">
                  <c:v>456.1</c:v>
                </c:pt>
                <c:pt idx="16">
                  <c:v>0</c:v>
                </c:pt>
                <c:pt idx="17">
                  <c:v>873.3</c:v>
                </c:pt>
                <c:pt idx="18">
                  <c:v>406.56</c:v>
                </c:pt>
                <c:pt idx="19">
                  <c:v>637.79999999999995</c:v>
                </c:pt>
                <c:pt idx="20">
                  <c:v>0</c:v>
                </c:pt>
                <c:pt idx="21">
                  <c:v>0</c:v>
                </c:pt>
                <c:pt idx="22">
                  <c:v>154.1</c:v>
                </c:pt>
                <c:pt idx="23">
                  <c:v>98</c:v>
                </c:pt>
                <c:pt idx="24">
                  <c:v>0</c:v>
                </c:pt>
                <c:pt idx="25">
                  <c:v>103.9</c:v>
                </c:pt>
                <c:pt idx="26">
                  <c:v>143.19999999999999</c:v>
                </c:pt>
                <c:pt idx="27">
                  <c:v>169</c:v>
                </c:pt>
                <c:pt idx="28">
                  <c:v>440.8</c:v>
                </c:pt>
                <c:pt idx="29">
                  <c:v>388.9</c:v>
                </c:pt>
                <c:pt idx="30">
                  <c:v>750.1</c:v>
                </c:pt>
                <c:pt idx="31">
                  <c:v>0</c:v>
                </c:pt>
                <c:pt idx="32">
                  <c:v>379.7</c:v>
                </c:pt>
                <c:pt idx="33">
                  <c:v>0</c:v>
                </c:pt>
                <c:pt idx="34">
                  <c:v>167.8</c:v>
                </c:pt>
                <c:pt idx="35">
                  <c:v>268.60000000000002</c:v>
                </c:pt>
                <c:pt idx="36">
                  <c:v>198.6</c:v>
                </c:pt>
                <c:pt idx="37">
                  <c:v>0</c:v>
                </c:pt>
                <c:pt idx="38">
                  <c:v>237</c:v>
                </c:pt>
                <c:pt idx="39">
                  <c:v>0</c:v>
                </c:pt>
                <c:pt idx="40">
                  <c:v>448</c:v>
                </c:pt>
                <c:pt idx="41">
                  <c:v>1097.7</c:v>
                </c:pt>
                <c:pt idx="42">
                  <c:v>469.8</c:v>
                </c:pt>
                <c:pt idx="43">
                  <c:v>371.4</c:v>
                </c:pt>
                <c:pt idx="44">
                  <c:v>220.1</c:v>
                </c:pt>
                <c:pt idx="45">
                  <c:v>125.9</c:v>
                </c:pt>
                <c:pt idx="46">
                  <c:v>0</c:v>
                </c:pt>
                <c:pt idx="47">
                  <c:v>169.9</c:v>
                </c:pt>
                <c:pt idx="48">
                  <c:v>212.2</c:v>
                </c:pt>
                <c:pt idx="49">
                  <c:v>255.5</c:v>
                </c:pt>
                <c:pt idx="50">
                  <c:v>0</c:v>
                </c:pt>
                <c:pt idx="51">
                  <c:v>205</c:v>
                </c:pt>
                <c:pt idx="52">
                  <c:v>549</c:v>
                </c:pt>
                <c:pt idx="53">
                  <c:v>576</c:v>
                </c:pt>
                <c:pt idx="54">
                  <c:v>409</c:v>
                </c:pt>
                <c:pt idx="55">
                  <c:v>447</c:v>
                </c:pt>
                <c:pt idx="56">
                  <c:v>373</c:v>
                </c:pt>
                <c:pt idx="57">
                  <c:v>0</c:v>
                </c:pt>
                <c:pt idx="58">
                  <c:v>0</c:v>
                </c:pt>
                <c:pt idx="59">
                  <c:v>238</c:v>
                </c:pt>
                <c:pt idx="60">
                  <c:v>250</c:v>
                </c:pt>
                <c:pt idx="61">
                  <c:v>0</c:v>
                </c:pt>
                <c:pt idx="62">
                  <c:v>0</c:v>
                </c:pt>
                <c:pt idx="63">
                  <c:v>214</c:v>
                </c:pt>
                <c:pt idx="64">
                  <c:v>495</c:v>
                </c:pt>
                <c:pt idx="65">
                  <c:v>765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918912"/>
        <c:axId val="72920448"/>
      </c:lineChart>
      <c:dateAx>
        <c:axId val="72918912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2920448"/>
        <c:crosses val="autoZero"/>
        <c:auto val="1"/>
        <c:lblOffset val="100"/>
        <c:baseTimeUnit val="months"/>
      </c:dateAx>
      <c:valAx>
        <c:axId val="729204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2918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30495</a:t>
            </a:r>
            <a:r>
              <a:rPr lang="en-US" sz="1400" baseline="0"/>
              <a:t> 15-NC 9</a:t>
            </a:r>
            <a:r>
              <a:rPr lang="en-US" sz="1400"/>
              <a:t>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'30495'!$B$4:$B$70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'30495'!$D$4:$D$70</c:f>
              <c:numCache>
                <c:formatCode>_(* #,##0.0_);_(* \(#,##0.0\);_(* "-"??_);_(@_)</c:formatCode>
                <c:ptCount val="67"/>
                <c:pt idx="0">
                  <c:v>132.19999999999999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156.6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132.69999999999999</c:v>
                </c:pt>
                <c:pt idx="23">
                  <c:v>0</c:v>
                </c:pt>
                <c:pt idx="24">
                  <c:v>57.8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105.4</c:v>
                </c:pt>
                <c:pt idx="35">
                  <c:v>0</c:v>
                </c:pt>
                <c:pt idx="36">
                  <c:v>123.9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120.5</c:v>
                </c:pt>
                <c:pt idx="48">
                  <c:v>146.69999999999999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180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633152"/>
        <c:axId val="73663616"/>
      </c:lineChart>
      <c:dateAx>
        <c:axId val="73633152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3663616"/>
        <c:crosses val="autoZero"/>
        <c:auto val="1"/>
        <c:lblOffset val="100"/>
        <c:baseTimeUnit val="months"/>
      </c:dateAx>
      <c:valAx>
        <c:axId val="7366361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3633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30495</a:t>
            </a:r>
            <a:r>
              <a:rPr lang="en-US" sz="800" baseline="0"/>
              <a:t> 15-NC 9</a:t>
            </a:r>
            <a:r>
              <a:rPr lang="en-US" sz="800"/>
              <a:t>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'30495'!$B$4:$B$70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'30495'!$D$4:$D$70</c:f>
              <c:numCache>
                <c:formatCode>_(* #,##0.0_);_(* \(#,##0.0\);_(* "-"??_);_(@_)</c:formatCode>
                <c:ptCount val="67"/>
                <c:pt idx="0">
                  <c:v>132.19999999999999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156.6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132.69999999999999</c:v>
                </c:pt>
                <c:pt idx="23">
                  <c:v>0</c:v>
                </c:pt>
                <c:pt idx="24">
                  <c:v>57.8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105.4</c:v>
                </c:pt>
                <c:pt idx="35">
                  <c:v>0</c:v>
                </c:pt>
                <c:pt idx="36">
                  <c:v>123.9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120.5</c:v>
                </c:pt>
                <c:pt idx="48">
                  <c:v>146.69999999999999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180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692288"/>
        <c:axId val="73693824"/>
      </c:lineChart>
      <c:dateAx>
        <c:axId val="7369228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693824"/>
        <c:crosses val="autoZero"/>
        <c:auto val="1"/>
        <c:lblOffset val="100"/>
        <c:baseTimeUnit val="months"/>
      </c:dateAx>
      <c:valAx>
        <c:axId val="7369382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6922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30496</a:t>
            </a:r>
            <a:r>
              <a:rPr lang="en-US" sz="1400" baseline="0"/>
              <a:t> 17/V2</a:t>
            </a:r>
            <a:r>
              <a:rPr lang="en-US" sz="1400"/>
              <a:t>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'30496'!$B$4:$B$70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'30496'!$D$4:$D$70</c:f>
              <c:numCache>
                <c:formatCode>_(* #,##0.0_);_(* \(#,##0.0\);_(* "-"??_);_(@_)</c:formatCode>
                <c:ptCount val="67"/>
                <c:pt idx="0">
                  <c:v>112.5</c:v>
                </c:pt>
                <c:pt idx="1">
                  <c:v>137.6</c:v>
                </c:pt>
                <c:pt idx="2">
                  <c:v>30.1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84.5</c:v>
                </c:pt>
                <c:pt idx="10">
                  <c:v>120.9</c:v>
                </c:pt>
                <c:pt idx="11">
                  <c:v>346.8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67.400000000000006</c:v>
                </c:pt>
                <c:pt idx="22">
                  <c:v>142.30000000000001</c:v>
                </c:pt>
                <c:pt idx="23">
                  <c:v>142.69999999999999</c:v>
                </c:pt>
                <c:pt idx="24">
                  <c:v>116.5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183.4</c:v>
                </c:pt>
                <c:pt idx="35">
                  <c:v>146.30000000000001</c:v>
                </c:pt>
                <c:pt idx="36">
                  <c:v>197.2</c:v>
                </c:pt>
                <c:pt idx="37">
                  <c:v>148.9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86.7</c:v>
                </c:pt>
                <c:pt idx="47">
                  <c:v>155.80000000000001</c:v>
                </c:pt>
                <c:pt idx="48">
                  <c:v>121.5</c:v>
                </c:pt>
                <c:pt idx="49">
                  <c:v>152.6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108</c:v>
                </c:pt>
                <c:pt idx="59">
                  <c:v>196</c:v>
                </c:pt>
                <c:pt idx="60">
                  <c:v>145</c:v>
                </c:pt>
                <c:pt idx="61">
                  <c:v>134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714304"/>
        <c:axId val="73875840"/>
      </c:lineChart>
      <c:dateAx>
        <c:axId val="7371430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3875840"/>
        <c:crosses val="autoZero"/>
        <c:auto val="1"/>
        <c:lblOffset val="100"/>
        <c:baseTimeUnit val="months"/>
      </c:dateAx>
      <c:valAx>
        <c:axId val="738758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3714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30496</a:t>
            </a:r>
            <a:r>
              <a:rPr lang="en-US" sz="800" baseline="0"/>
              <a:t> 17/V2</a:t>
            </a:r>
            <a:r>
              <a:rPr lang="en-US" sz="800"/>
              <a:t>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'30496'!$B$4:$B$70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'30496'!$D$4:$D$70</c:f>
              <c:numCache>
                <c:formatCode>_(* #,##0.0_);_(* \(#,##0.0\);_(* "-"??_);_(@_)</c:formatCode>
                <c:ptCount val="67"/>
                <c:pt idx="0">
                  <c:v>112.5</c:v>
                </c:pt>
                <c:pt idx="1">
                  <c:v>137.6</c:v>
                </c:pt>
                <c:pt idx="2">
                  <c:v>30.1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84.5</c:v>
                </c:pt>
                <c:pt idx="10">
                  <c:v>120.9</c:v>
                </c:pt>
                <c:pt idx="11">
                  <c:v>346.8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67.400000000000006</c:v>
                </c:pt>
                <c:pt idx="22">
                  <c:v>142.30000000000001</c:v>
                </c:pt>
                <c:pt idx="23">
                  <c:v>142.69999999999999</c:v>
                </c:pt>
                <c:pt idx="24">
                  <c:v>116.5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183.4</c:v>
                </c:pt>
                <c:pt idx="35">
                  <c:v>146.30000000000001</c:v>
                </c:pt>
                <c:pt idx="36">
                  <c:v>197.2</c:v>
                </c:pt>
                <c:pt idx="37">
                  <c:v>148.9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86.7</c:v>
                </c:pt>
                <c:pt idx="47">
                  <c:v>155.80000000000001</c:v>
                </c:pt>
                <c:pt idx="48">
                  <c:v>121.5</c:v>
                </c:pt>
                <c:pt idx="49">
                  <c:v>152.6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108</c:v>
                </c:pt>
                <c:pt idx="59">
                  <c:v>196</c:v>
                </c:pt>
                <c:pt idx="60">
                  <c:v>145</c:v>
                </c:pt>
                <c:pt idx="61">
                  <c:v>134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896320"/>
        <c:axId val="73897856"/>
      </c:lineChart>
      <c:dateAx>
        <c:axId val="73896320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897856"/>
        <c:crosses val="autoZero"/>
        <c:auto val="1"/>
        <c:lblOffset val="100"/>
        <c:baseTimeUnit val="months"/>
      </c:dateAx>
      <c:valAx>
        <c:axId val="7389785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8963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30497 18-NC</a:t>
            </a:r>
            <a:r>
              <a:rPr lang="en-US" sz="1400" baseline="0"/>
              <a:t> 7</a:t>
            </a:r>
            <a:r>
              <a:rPr lang="en-US" sz="1400"/>
              <a:t>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'30497'!$B$4:$B$70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'30497'!$D$4:$D$70</c:f>
              <c:numCache>
                <c:formatCode>_(* #,##0.0_);_(* \(#,##0.0\);_(* "-"??_);_(@_)</c:formatCode>
                <c:ptCount val="67"/>
                <c:pt idx="0">
                  <c:v>113.9</c:v>
                </c:pt>
                <c:pt idx="1">
                  <c:v>109.7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123.1</c:v>
                </c:pt>
                <c:pt idx="11">
                  <c:v>349.3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150.5</c:v>
                </c:pt>
                <c:pt idx="23">
                  <c:v>158.1</c:v>
                </c:pt>
                <c:pt idx="24">
                  <c:v>0</c:v>
                </c:pt>
                <c:pt idx="25">
                  <c:v>113.1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140.4</c:v>
                </c:pt>
                <c:pt idx="35">
                  <c:v>102.6</c:v>
                </c:pt>
                <c:pt idx="36">
                  <c:v>143.6</c:v>
                </c:pt>
                <c:pt idx="37">
                  <c:v>132.80000000000001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179.4</c:v>
                </c:pt>
                <c:pt idx="48">
                  <c:v>305.89999999999998</c:v>
                </c:pt>
                <c:pt idx="49">
                  <c:v>73.099999999999994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316</c:v>
                </c:pt>
                <c:pt idx="60">
                  <c:v>175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844608"/>
        <c:axId val="73846144"/>
      </c:lineChart>
      <c:dateAx>
        <c:axId val="7384460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3846144"/>
        <c:crosses val="autoZero"/>
        <c:auto val="1"/>
        <c:lblOffset val="100"/>
        <c:baseTimeUnit val="months"/>
      </c:dateAx>
      <c:valAx>
        <c:axId val="7384614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3844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30497 18-NC</a:t>
            </a:r>
            <a:r>
              <a:rPr lang="en-US" sz="800" baseline="0"/>
              <a:t> 7</a:t>
            </a:r>
            <a:r>
              <a:rPr lang="en-US" sz="800"/>
              <a:t>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'30497'!$B$4:$B$70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'30497'!$D$4:$D$70</c:f>
              <c:numCache>
                <c:formatCode>_(* #,##0.0_);_(* \(#,##0.0\);_(* "-"??_);_(@_)</c:formatCode>
                <c:ptCount val="67"/>
                <c:pt idx="0">
                  <c:v>113.9</c:v>
                </c:pt>
                <c:pt idx="1">
                  <c:v>109.7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123.1</c:v>
                </c:pt>
                <c:pt idx="11">
                  <c:v>349.3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150.5</c:v>
                </c:pt>
                <c:pt idx="23">
                  <c:v>158.1</c:v>
                </c:pt>
                <c:pt idx="24">
                  <c:v>0</c:v>
                </c:pt>
                <c:pt idx="25">
                  <c:v>113.1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140.4</c:v>
                </c:pt>
                <c:pt idx="35">
                  <c:v>102.6</c:v>
                </c:pt>
                <c:pt idx="36">
                  <c:v>143.6</c:v>
                </c:pt>
                <c:pt idx="37">
                  <c:v>132.80000000000001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179.4</c:v>
                </c:pt>
                <c:pt idx="48">
                  <c:v>305.89999999999998</c:v>
                </c:pt>
                <c:pt idx="49">
                  <c:v>73.099999999999994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316</c:v>
                </c:pt>
                <c:pt idx="60">
                  <c:v>175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936256"/>
        <c:axId val="73950336"/>
      </c:lineChart>
      <c:dateAx>
        <c:axId val="7393625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950336"/>
        <c:crosses val="autoZero"/>
        <c:auto val="1"/>
        <c:lblOffset val="100"/>
        <c:baseTimeUnit val="months"/>
      </c:dateAx>
      <c:valAx>
        <c:axId val="7395033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936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30498 SC 1 Laundry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'30498'!$B$4:$B$70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'30498'!$D$4:$D$70</c:f>
              <c:numCache>
                <c:formatCode>_(* #,##0.0_);_(* \(#,##0.0\);_(* "-"??_);_(@_)</c:formatCode>
                <c:ptCount val="67"/>
                <c:pt idx="0">
                  <c:v>229.7</c:v>
                </c:pt>
                <c:pt idx="1">
                  <c:v>0</c:v>
                </c:pt>
                <c:pt idx="2">
                  <c:v>369.5</c:v>
                </c:pt>
                <c:pt idx="3">
                  <c:v>0</c:v>
                </c:pt>
                <c:pt idx="4">
                  <c:v>0</c:v>
                </c:pt>
                <c:pt idx="5">
                  <c:v>268.60000000000002</c:v>
                </c:pt>
                <c:pt idx="6">
                  <c:v>442.4</c:v>
                </c:pt>
                <c:pt idx="7">
                  <c:v>0</c:v>
                </c:pt>
                <c:pt idx="8">
                  <c:v>110.8</c:v>
                </c:pt>
                <c:pt idx="9">
                  <c:v>0</c:v>
                </c:pt>
                <c:pt idx="10">
                  <c:v>194.3</c:v>
                </c:pt>
                <c:pt idx="11">
                  <c:v>253.2</c:v>
                </c:pt>
                <c:pt idx="12">
                  <c:v>193.8</c:v>
                </c:pt>
                <c:pt idx="13">
                  <c:v>0</c:v>
                </c:pt>
                <c:pt idx="14">
                  <c:v>220.7</c:v>
                </c:pt>
                <c:pt idx="15">
                  <c:v>0</c:v>
                </c:pt>
                <c:pt idx="16">
                  <c:v>0</c:v>
                </c:pt>
                <c:pt idx="17">
                  <c:v>119.2</c:v>
                </c:pt>
                <c:pt idx="18">
                  <c:v>225.7</c:v>
                </c:pt>
                <c:pt idx="19">
                  <c:v>140.6</c:v>
                </c:pt>
                <c:pt idx="20">
                  <c:v>117.8</c:v>
                </c:pt>
                <c:pt idx="21">
                  <c:v>0</c:v>
                </c:pt>
                <c:pt idx="22">
                  <c:v>461</c:v>
                </c:pt>
                <c:pt idx="23">
                  <c:v>142.69999999999999</c:v>
                </c:pt>
                <c:pt idx="24">
                  <c:v>0</c:v>
                </c:pt>
                <c:pt idx="25">
                  <c:v>135.80000000000001</c:v>
                </c:pt>
                <c:pt idx="26">
                  <c:v>52.3</c:v>
                </c:pt>
                <c:pt idx="27">
                  <c:v>0</c:v>
                </c:pt>
                <c:pt idx="28">
                  <c:v>230.1</c:v>
                </c:pt>
                <c:pt idx="29">
                  <c:v>161</c:v>
                </c:pt>
                <c:pt idx="30">
                  <c:v>0</c:v>
                </c:pt>
                <c:pt idx="31">
                  <c:v>196.4</c:v>
                </c:pt>
                <c:pt idx="32">
                  <c:v>609.4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286.60000000000002</c:v>
                </c:pt>
                <c:pt idx="37">
                  <c:v>195.5</c:v>
                </c:pt>
                <c:pt idx="38">
                  <c:v>0</c:v>
                </c:pt>
                <c:pt idx="39">
                  <c:v>0</c:v>
                </c:pt>
                <c:pt idx="40">
                  <c:v>165.1</c:v>
                </c:pt>
                <c:pt idx="41">
                  <c:v>521.6</c:v>
                </c:pt>
                <c:pt idx="42">
                  <c:v>267.10000000000002</c:v>
                </c:pt>
                <c:pt idx="43">
                  <c:v>295.60000000000002</c:v>
                </c:pt>
                <c:pt idx="44">
                  <c:v>0</c:v>
                </c:pt>
                <c:pt idx="45">
                  <c:v>0</c:v>
                </c:pt>
                <c:pt idx="46">
                  <c:v>174.4</c:v>
                </c:pt>
                <c:pt idx="47">
                  <c:v>227.6</c:v>
                </c:pt>
                <c:pt idx="48">
                  <c:v>318.5</c:v>
                </c:pt>
                <c:pt idx="49">
                  <c:v>0</c:v>
                </c:pt>
                <c:pt idx="50">
                  <c:v>240</c:v>
                </c:pt>
                <c:pt idx="51">
                  <c:v>0</c:v>
                </c:pt>
                <c:pt idx="52">
                  <c:v>622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49</c:v>
                </c:pt>
                <c:pt idx="58">
                  <c:v>0</c:v>
                </c:pt>
                <c:pt idx="59">
                  <c:v>411</c:v>
                </c:pt>
                <c:pt idx="60">
                  <c:v>228</c:v>
                </c:pt>
                <c:pt idx="61">
                  <c:v>0</c:v>
                </c:pt>
                <c:pt idx="62">
                  <c:v>92</c:v>
                </c:pt>
                <c:pt idx="63">
                  <c:v>179</c:v>
                </c:pt>
                <c:pt idx="64">
                  <c:v>138</c:v>
                </c:pt>
                <c:pt idx="65">
                  <c:v>366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060928"/>
        <c:axId val="74062464"/>
      </c:lineChart>
      <c:dateAx>
        <c:axId val="7406092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4062464"/>
        <c:crosses val="autoZero"/>
        <c:auto val="1"/>
        <c:lblOffset val="100"/>
        <c:baseTimeUnit val="months"/>
      </c:dateAx>
      <c:valAx>
        <c:axId val="7406246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4060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30498 SC 1 Laundry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'30498'!$B$4:$B$70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'30498'!$D$4:$D$70</c:f>
              <c:numCache>
                <c:formatCode>_(* #,##0.0_);_(* \(#,##0.0\);_(* "-"??_);_(@_)</c:formatCode>
                <c:ptCount val="67"/>
                <c:pt idx="0">
                  <c:v>229.7</c:v>
                </c:pt>
                <c:pt idx="1">
                  <c:v>0</c:v>
                </c:pt>
                <c:pt idx="2">
                  <c:v>369.5</c:v>
                </c:pt>
                <c:pt idx="3">
                  <c:v>0</c:v>
                </c:pt>
                <c:pt idx="4">
                  <c:v>0</c:v>
                </c:pt>
                <c:pt idx="5">
                  <c:v>268.60000000000002</c:v>
                </c:pt>
                <c:pt idx="6">
                  <c:v>442.4</c:v>
                </c:pt>
                <c:pt idx="7">
                  <c:v>0</c:v>
                </c:pt>
                <c:pt idx="8">
                  <c:v>110.8</c:v>
                </c:pt>
                <c:pt idx="9">
                  <c:v>0</c:v>
                </c:pt>
                <c:pt idx="10">
                  <c:v>194.3</c:v>
                </c:pt>
                <c:pt idx="11">
                  <c:v>253.2</c:v>
                </c:pt>
                <c:pt idx="12">
                  <c:v>193.8</c:v>
                </c:pt>
                <c:pt idx="13">
                  <c:v>0</c:v>
                </c:pt>
                <c:pt idx="14">
                  <c:v>220.7</c:v>
                </c:pt>
                <c:pt idx="15">
                  <c:v>0</c:v>
                </c:pt>
                <c:pt idx="16">
                  <c:v>0</c:v>
                </c:pt>
                <c:pt idx="17">
                  <c:v>119.2</c:v>
                </c:pt>
                <c:pt idx="18">
                  <c:v>225.7</c:v>
                </c:pt>
                <c:pt idx="19">
                  <c:v>140.6</c:v>
                </c:pt>
                <c:pt idx="20">
                  <c:v>117.8</c:v>
                </c:pt>
                <c:pt idx="21">
                  <c:v>0</c:v>
                </c:pt>
                <c:pt idx="22">
                  <c:v>461</c:v>
                </c:pt>
                <c:pt idx="23">
                  <c:v>142.69999999999999</c:v>
                </c:pt>
                <c:pt idx="24">
                  <c:v>0</c:v>
                </c:pt>
                <c:pt idx="25">
                  <c:v>135.80000000000001</c:v>
                </c:pt>
                <c:pt idx="26">
                  <c:v>52.3</c:v>
                </c:pt>
                <c:pt idx="27">
                  <c:v>0</c:v>
                </c:pt>
                <c:pt idx="28">
                  <c:v>230.1</c:v>
                </c:pt>
                <c:pt idx="29">
                  <c:v>161</c:v>
                </c:pt>
                <c:pt idx="30">
                  <c:v>0</c:v>
                </c:pt>
                <c:pt idx="31">
                  <c:v>196.4</c:v>
                </c:pt>
                <c:pt idx="32">
                  <c:v>609.4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286.60000000000002</c:v>
                </c:pt>
                <c:pt idx="37">
                  <c:v>195.5</c:v>
                </c:pt>
                <c:pt idx="38">
                  <c:v>0</c:v>
                </c:pt>
                <c:pt idx="39">
                  <c:v>0</c:v>
                </c:pt>
                <c:pt idx="40">
                  <c:v>165.1</c:v>
                </c:pt>
                <c:pt idx="41">
                  <c:v>521.6</c:v>
                </c:pt>
                <c:pt idx="42">
                  <c:v>267.10000000000002</c:v>
                </c:pt>
                <c:pt idx="43">
                  <c:v>295.60000000000002</c:v>
                </c:pt>
                <c:pt idx="44">
                  <c:v>0</c:v>
                </c:pt>
                <c:pt idx="45">
                  <c:v>0</c:v>
                </c:pt>
                <c:pt idx="46">
                  <c:v>174.4</c:v>
                </c:pt>
                <c:pt idx="47">
                  <c:v>227.6</c:v>
                </c:pt>
                <c:pt idx="48">
                  <c:v>318.5</c:v>
                </c:pt>
                <c:pt idx="49">
                  <c:v>0</c:v>
                </c:pt>
                <c:pt idx="50">
                  <c:v>240</c:v>
                </c:pt>
                <c:pt idx="51">
                  <c:v>0</c:v>
                </c:pt>
                <c:pt idx="52">
                  <c:v>622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49</c:v>
                </c:pt>
                <c:pt idx="58">
                  <c:v>0</c:v>
                </c:pt>
                <c:pt idx="59">
                  <c:v>411</c:v>
                </c:pt>
                <c:pt idx="60">
                  <c:v>228</c:v>
                </c:pt>
                <c:pt idx="61">
                  <c:v>0</c:v>
                </c:pt>
                <c:pt idx="62">
                  <c:v>92</c:v>
                </c:pt>
                <c:pt idx="63">
                  <c:v>179</c:v>
                </c:pt>
                <c:pt idx="64">
                  <c:v>138</c:v>
                </c:pt>
                <c:pt idx="65">
                  <c:v>366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070656"/>
        <c:axId val="74109312"/>
      </c:lineChart>
      <c:dateAx>
        <c:axId val="7407065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109312"/>
        <c:crosses val="autoZero"/>
        <c:auto val="1"/>
        <c:lblOffset val="100"/>
        <c:baseTimeUnit val="months"/>
      </c:dateAx>
      <c:valAx>
        <c:axId val="7410931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070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30500 SC Parking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'30500'!$B$4:$B$70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'30500'!$D$4:$D$70</c:f>
              <c:numCache>
                <c:formatCode>_(* #,##0.0_);_(* \(#,##0.0\);_(* "-"??_);_(@_)</c:formatCode>
                <c:ptCount val="67"/>
                <c:pt idx="0">
                  <c:v>128.30000000000001</c:v>
                </c:pt>
                <c:pt idx="1">
                  <c:v>0</c:v>
                </c:pt>
                <c:pt idx="2">
                  <c:v>290.3</c:v>
                </c:pt>
                <c:pt idx="3">
                  <c:v>0</c:v>
                </c:pt>
                <c:pt idx="4">
                  <c:v>301.60000000000002</c:v>
                </c:pt>
                <c:pt idx="5">
                  <c:v>385</c:v>
                </c:pt>
                <c:pt idx="6">
                  <c:v>635.1</c:v>
                </c:pt>
                <c:pt idx="7">
                  <c:v>0</c:v>
                </c:pt>
                <c:pt idx="8">
                  <c:v>255.8</c:v>
                </c:pt>
                <c:pt idx="9">
                  <c:v>0</c:v>
                </c:pt>
                <c:pt idx="10">
                  <c:v>0</c:v>
                </c:pt>
                <c:pt idx="11">
                  <c:v>238.9</c:v>
                </c:pt>
                <c:pt idx="12">
                  <c:v>0</c:v>
                </c:pt>
                <c:pt idx="13">
                  <c:v>228.2</c:v>
                </c:pt>
                <c:pt idx="14">
                  <c:v>296.39999999999998</c:v>
                </c:pt>
                <c:pt idx="15">
                  <c:v>0</c:v>
                </c:pt>
                <c:pt idx="16">
                  <c:v>0</c:v>
                </c:pt>
                <c:pt idx="17">
                  <c:v>1022.7</c:v>
                </c:pt>
                <c:pt idx="18">
                  <c:v>265.39999999999998</c:v>
                </c:pt>
                <c:pt idx="19">
                  <c:v>429.6</c:v>
                </c:pt>
                <c:pt idx="20">
                  <c:v>102.2</c:v>
                </c:pt>
                <c:pt idx="21">
                  <c:v>0</c:v>
                </c:pt>
                <c:pt idx="22">
                  <c:v>315.5</c:v>
                </c:pt>
                <c:pt idx="23">
                  <c:v>0</c:v>
                </c:pt>
                <c:pt idx="24">
                  <c:v>0</c:v>
                </c:pt>
                <c:pt idx="25">
                  <c:v>119.4</c:v>
                </c:pt>
                <c:pt idx="26">
                  <c:v>131</c:v>
                </c:pt>
                <c:pt idx="27">
                  <c:v>156.19999999999999</c:v>
                </c:pt>
                <c:pt idx="28">
                  <c:v>371</c:v>
                </c:pt>
                <c:pt idx="29">
                  <c:v>0</c:v>
                </c:pt>
                <c:pt idx="30">
                  <c:v>500.5</c:v>
                </c:pt>
                <c:pt idx="31">
                  <c:v>313.3</c:v>
                </c:pt>
                <c:pt idx="32">
                  <c:v>257.2</c:v>
                </c:pt>
                <c:pt idx="33">
                  <c:v>0</c:v>
                </c:pt>
                <c:pt idx="34">
                  <c:v>250.6</c:v>
                </c:pt>
                <c:pt idx="35">
                  <c:v>0</c:v>
                </c:pt>
                <c:pt idx="36">
                  <c:v>198.4</c:v>
                </c:pt>
                <c:pt idx="37">
                  <c:v>144.6</c:v>
                </c:pt>
                <c:pt idx="38">
                  <c:v>133.5</c:v>
                </c:pt>
                <c:pt idx="39">
                  <c:v>0</c:v>
                </c:pt>
                <c:pt idx="40">
                  <c:v>459</c:v>
                </c:pt>
                <c:pt idx="41">
                  <c:v>973.7</c:v>
                </c:pt>
                <c:pt idx="42">
                  <c:v>623.5</c:v>
                </c:pt>
                <c:pt idx="43">
                  <c:v>198.4</c:v>
                </c:pt>
                <c:pt idx="44">
                  <c:v>127.4</c:v>
                </c:pt>
                <c:pt idx="45">
                  <c:v>0</c:v>
                </c:pt>
                <c:pt idx="46">
                  <c:v>0</c:v>
                </c:pt>
                <c:pt idx="47">
                  <c:v>178.4</c:v>
                </c:pt>
                <c:pt idx="48">
                  <c:v>215.9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388416"/>
        <c:axId val="73389952"/>
      </c:lineChart>
      <c:dateAx>
        <c:axId val="7338841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3389952"/>
        <c:crosses val="autoZero"/>
        <c:auto val="1"/>
        <c:lblOffset val="100"/>
        <c:baseTimeUnit val="months"/>
      </c:dateAx>
      <c:valAx>
        <c:axId val="7338995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3388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30500 SC Parking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'30500'!$B$4:$B$70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'30500'!$D$4:$D$70</c:f>
              <c:numCache>
                <c:formatCode>_(* #,##0.0_);_(* \(#,##0.0\);_(* "-"??_);_(@_)</c:formatCode>
                <c:ptCount val="67"/>
                <c:pt idx="0">
                  <c:v>128.30000000000001</c:v>
                </c:pt>
                <c:pt idx="1">
                  <c:v>0</c:v>
                </c:pt>
                <c:pt idx="2">
                  <c:v>290.3</c:v>
                </c:pt>
                <c:pt idx="3">
                  <c:v>0</c:v>
                </c:pt>
                <c:pt idx="4">
                  <c:v>301.60000000000002</c:v>
                </c:pt>
                <c:pt idx="5">
                  <c:v>385</c:v>
                </c:pt>
                <c:pt idx="6">
                  <c:v>635.1</c:v>
                </c:pt>
                <c:pt idx="7">
                  <c:v>0</c:v>
                </c:pt>
                <c:pt idx="8">
                  <c:v>255.8</c:v>
                </c:pt>
                <c:pt idx="9">
                  <c:v>0</c:v>
                </c:pt>
                <c:pt idx="10">
                  <c:v>0</c:v>
                </c:pt>
                <c:pt idx="11">
                  <c:v>238.9</c:v>
                </c:pt>
                <c:pt idx="12">
                  <c:v>0</c:v>
                </c:pt>
                <c:pt idx="13">
                  <c:v>228.2</c:v>
                </c:pt>
                <c:pt idx="14">
                  <c:v>296.39999999999998</c:v>
                </c:pt>
                <c:pt idx="15">
                  <c:v>0</c:v>
                </c:pt>
                <c:pt idx="16">
                  <c:v>0</c:v>
                </c:pt>
                <c:pt idx="17">
                  <c:v>1022.7</c:v>
                </c:pt>
                <c:pt idx="18">
                  <c:v>265.39999999999998</c:v>
                </c:pt>
                <c:pt idx="19">
                  <c:v>429.6</c:v>
                </c:pt>
                <c:pt idx="20">
                  <c:v>102.2</c:v>
                </c:pt>
                <c:pt idx="21">
                  <c:v>0</c:v>
                </c:pt>
                <c:pt idx="22">
                  <c:v>315.5</c:v>
                </c:pt>
                <c:pt idx="23">
                  <c:v>0</c:v>
                </c:pt>
                <c:pt idx="24">
                  <c:v>0</c:v>
                </c:pt>
                <c:pt idx="25">
                  <c:v>119.4</c:v>
                </c:pt>
                <c:pt idx="26">
                  <c:v>131</c:v>
                </c:pt>
                <c:pt idx="27">
                  <c:v>156.19999999999999</c:v>
                </c:pt>
                <c:pt idx="28">
                  <c:v>371</c:v>
                </c:pt>
                <c:pt idx="29">
                  <c:v>0</c:v>
                </c:pt>
                <c:pt idx="30">
                  <c:v>500.5</c:v>
                </c:pt>
                <c:pt idx="31">
                  <c:v>313.3</c:v>
                </c:pt>
                <c:pt idx="32">
                  <c:v>257.2</c:v>
                </c:pt>
                <c:pt idx="33">
                  <c:v>0</c:v>
                </c:pt>
                <c:pt idx="34">
                  <c:v>250.6</c:v>
                </c:pt>
                <c:pt idx="35">
                  <c:v>0</c:v>
                </c:pt>
                <c:pt idx="36">
                  <c:v>198.4</c:v>
                </c:pt>
                <c:pt idx="37">
                  <c:v>144.6</c:v>
                </c:pt>
                <c:pt idx="38">
                  <c:v>133.5</c:v>
                </c:pt>
                <c:pt idx="39">
                  <c:v>0</c:v>
                </c:pt>
                <c:pt idx="40">
                  <c:v>459</c:v>
                </c:pt>
                <c:pt idx="41">
                  <c:v>973.7</c:v>
                </c:pt>
                <c:pt idx="42">
                  <c:v>623.5</c:v>
                </c:pt>
                <c:pt idx="43">
                  <c:v>198.4</c:v>
                </c:pt>
                <c:pt idx="44">
                  <c:v>127.4</c:v>
                </c:pt>
                <c:pt idx="45">
                  <c:v>0</c:v>
                </c:pt>
                <c:pt idx="46">
                  <c:v>0</c:v>
                </c:pt>
                <c:pt idx="47">
                  <c:v>178.4</c:v>
                </c:pt>
                <c:pt idx="48">
                  <c:v>215.9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484160"/>
        <c:axId val="73485696"/>
      </c:lineChart>
      <c:dateAx>
        <c:axId val="73484160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485696"/>
        <c:crosses val="autoZero"/>
        <c:auto val="1"/>
        <c:lblOffset val="100"/>
        <c:baseTimeUnit val="months"/>
      </c:dateAx>
      <c:valAx>
        <c:axId val="7348569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34841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30505</a:t>
            </a:r>
            <a:r>
              <a:rPr lang="en-US" sz="1400" baseline="0"/>
              <a:t> Tank 07298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'30505'!$B$4:$B$70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'30505'!$D$4:$D$70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505.1</c:v>
                </c:pt>
                <c:pt idx="6">
                  <c:v>123.5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350.1</c:v>
                </c:pt>
                <c:pt idx="15">
                  <c:v>145</c:v>
                </c:pt>
                <c:pt idx="16">
                  <c:v>0</c:v>
                </c:pt>
                <c:pt idx="17">
                  <c:v>683.3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270.60000000000002</c:v>
                </c:pt>
                <c:pt idx="29">
                  <c:v>0</c:v>
                </c:pt>
                <c:pt idx="30">
                  <c:v>386.5</c:v>
                </c:pt>
                <c:pt idx="31">
                  <c:v>0</c:v>
                </c:pt>
                <c:pt idx="32">
                  <c:v>169</c:v>
                </c:pt>
                <c:pt idx="33">
                  <c:v>0</c:v>
                </c:pt>
                <c:pt idx="34">
                  <c:v>0</c:v>
                </c:pt>
                <c:pt idx="35">
                  <c:v>123.1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113.5</c:v>
                </c:pt>
                <c:pt idx="41">
                  <c:v>527.5</c:v>
                </c:pt>
                <c:pt idx="42">
                  <c:v>358</c:v>
                </c:pt>
                <c:pt idx="43">
                  <c:v>259.3</c:v>
                </c:pt>
                <c:pt idx="44">
                  <c:v>0</c:v>
                </c:pt>
                <c:pt idx="45">
                  <c:v>0</c:v>
                </c:pt>
                <c:pt idx="46">
                  <c:v>158.4</c:v>
                </c:pt>
                <c:pt idx="47">
                  <c:v>0</c:v>
                </c:pt>
                <c:pt idx="48">
                  <c:v>0</c:v>
                </c:pt>
                <c:pt idx="49">
                  <c:v>180.7</c:v>
                </c:pt>
                <c:pt idx="50">
                  <c:v>0</c:v>
                </c:pt>
                <c:pt idx="51">
                  <c:v>798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506176"/>
        <c:axId val="74388608"/>
      </c:lineChart>
      <c:dateAx>
        <c:axId val="7350617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4388608"/>
        <c:crosses val="autoZero"/>
        <c:auto val="1"/>
        <c:lblOffset val="100"/>
        <c:baseTimeUnit val="months"/>
      </c:dateAx>
      <c:valAx>
        <c:axId val="7438860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3506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30505</a:t>
            </a:r>
            <a:r>
              <a:rPr lang="en-US" sz="800" baseline="0"/>
              <a:t> Tank 07298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'30505'!$B$4:$B$70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'30505'!$D$4:$D$70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505.1</c:v>
                </c:pt>
                <c:pt idx="6">
                  <c:v>123.5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350.1</c:v>
                </c:pt>
                <c:pt idx="15">
                  <c:v>145</c:v>
                </c:pt>
                <c:pt idx="16">
                  <c:v>0</c:v>
                </c:pt>
                <c:pt idx="17">
                  <c:v>683.3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270.60000000000002</c:v>
                </c:pt>
                <c:pt idx="29">
                  <c:v>0</c:v>
                </c:pt>
                <c:pt idx="30">
                  <c:v>386.5</c:v>
                </c:pt>
                <c:pt idx="31">
                  <c:v>0</c:v>
                </c:pt>
                <c:pt idx="32">
                  <c:v>169</c:v>
                </c:pt>
                <c:pt idx="33">
                  <c:v>0</c:v>
                </c:pt>
                <c:pt idx="34">
                  <c:v>0</c:v>
                </c:pt>
                <c:pt idx="35">
                  <c:v>123.1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113.5</c:v>
                </c:pt>
                <c:pt idx="41">
                  <c:v>527.5</c:v>
                </c:pt>
                <c:pt idx="42">
                  <c:v>358</c:v>
                </c:pt>
                <c:pt idx="43">
                  <c:v>259.3</c:v>
                </c:pt>
                <c:pt idx="44">
                  <c:v>0</c:v>
                </c:pt>
                <c:pt idx="45">
                  <c:v>0</c:v>
                </c:pt>
                <c:pt idx="46">
                  <c:v>158.4</c:v>
                </c:pt>
                <c:pt idx="47">
                  <c:v>0</c:v>
                </c:pt>
                <c:pt idx="48">
                  <c:v>0</c:v>
                </c:pt>
                <c:pt idx="49">
                  <c:v>180.7</c:v>
                </c:pt>
                <c:pt idx="50">
                  <c:v>0</c:v>
                </c:pt>
                <c:pt idx="51">
                  <c:v>798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417280"/>
        <c:axId val="74418816"/>
      </c:lineChart>
      <c:dateAx>
        <c:axId val="74417280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418816"/>
        <c:crosses val="autoZero"/>
        <c:auto val="1"/>
        <c:lblOffset val="100"/>
        <c:baseTimeUnit val="months"/>
      </c:dateAx>
      <c:valAx>
        <c:axId val="7441881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4172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30506 No Location</a:t>
            </a:r>
            <a:r>
              <a:rPr lang="en-US" sz="1400" baseline="0"/>
              <a:t> Given</a:t>
            </a:r>
            <a:r>
              <a:rPr lang="en-US" sz="1400"/>
              <a:t>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'30506'!$B$4:$B$70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'30506'!$D$4:$D$70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103.8</c:v>
                </c:pt>
                <c:pt idx="29">
                  <c:v>121.4</c:v>
                </c:pt>
                <c:pt idx="30">
                  <c:v>99</c:v>
                </c:pt>
                <c:pt idx="31">
                  <c:v>146.6</c:v>
                </c:pt>
                <c:pt idx="32">
                  <c:v>0</c:v>
                </c:pt>
                <c:pt idx="33">
                  <c:v>224.3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472064"/>
        <c:axId val="74486144"/>
      </c:lineChart>
      <c:dateAx>
        <c:axId val="7447206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4486144"/>
        <c:crosses val="autoZero"/>
        <c:auto val="1"/>
        <c:lblOffset val="100"/>
        <c:baseTimeUnit val="months"/>
      </c:dateAx>
      <c:valAx>
        <c:axId val="7448614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4472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847999627175034"/>
          <c:y val="7.4238910913306908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30506 No Location</a:t>
            </a:r>
            <a:r>
              <a:rPr lang="en-US" sz="800" baseline="0"/>
              <a:t> Given</a:t>
            </a:r>
            <a:r>
              <a:rPr lang="en-US" sz="800"/>
              <a:t>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'30506'!$B$4:$B$70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'30506'!$D$4:$D$70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103.8</c:v>
                </c:pt>
                <c:pt idx="29">
                  <c:v>121.4</c:v>
                </c:pt>
                <c:pt idx="30">
                  <c:v>99</c:v>
                </c:pt>
                <c:pt idx="31">
                  <c:v>146.6</c:v>
                </c:pt>
                <c:pt idx="32">
                  <c:v>0</c:v>
                </c:pt>
                <c:pt idx="33">
                  <c:v>224.3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527104"/>
        <c:axId val="74528640"/>
      </c:lineChart>
      <c:dateAx>
        <c:axId val="7452710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528640"/>
        <c:crosses val="autoZero"/>
        <c:auto val="1"/>
        <c:lblOffset val="100"/>
        <c:baseTimeUnit val="months"/>
      </c:dateAx>
      <c:valAx>
        <c:axId val="745286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5271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30507 SC 6-7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'30507'!$B$4:$B$70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'30507'!$D$4:$D$70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284.10000000000002</c:v>
                </c:pt>
                <c:pt idx="2">
                  <c:v>648.9</c:v>
                </c:pt>
                <c:pt idx="3">
                  <c:v>0</c:v>
                </c:pt>
                <c:pt idx="4">
                  <c:v>684.8</c:v>
                </c:pt>
                <c:pt idx="5">
                  <c:v>754.3</c:v>
                </c:pt>
                <c:pt idx="6">
                  <c:v>916.5</c:v>
                </c:pt>
                <c:pt idx="7">
                  <c:v>0</c:v>
                </c:pt>
                <c:pt idx="8">
                  <c:v>426</c:v>
                </c:pt>
                <c:pt idx="9">
                  <c:v>0</c:v>
                </c:pt>
                <c:pt idx="10">
                  <c:v>0</c:v>
                </c:pt>
                <c:pt idx="11">
                  <c:v>309.3</c:v>
                </c:pt>
                <c:pt idx="12">
                  <c:v>379.4</c:v>
                </c:pt>
                <c:pt idx="13">
                  <c:v>0</c:v>
                </c:pt>
                <c:pt idx="14">
                  <c:v>571</c:v>
                </c:pt>
                <c:pt idx="15">
                  <c:v>0</c:v>
                </c:pt>
                <c:pt idx="16">
                  <c:v>0</c:v>
                </c:pt>
                <c:pt idx="17">
                  <c:v>257.8</c:v>
                </c:pt>
                <c:pt idx="18">
                  <c:v>836.8</c:v>
                </c:pt>
                <c:pt idx="19">
                  <c:v>345.4</c:v>
                </c:pt>
                <c:pt idx="20">
                  <c:v>0</c:v>
                </c:pt>
                <c:pt idx="21">
                  <c:v>112.2</c:v>
                </c:pt>
                <c:pt idx="22">
                  <c:v>612.1</c:v>
                </c:pt>
                <c:pt idx="23">
                  <c:v>0</c:v>
                </c:pt>
                <c:pt idx="24">
                  <c:v>0</c:v>
                </c:pt>
                <c:pt idx="25">
                  <c:v>211.9</c:v>
                </c:pt>
                <c:pt idx="26">
                  <c:v>136.69999999999999</c:v>
                </c:pt>
                <c:pt idx="27">
                  <c:v>0</c:v>
                </c:pt>
                <c:pt idx="28">
                  <c:v>635.4</c:v>
                </c:pt>
                <c:pt idx="29">
                  <c:v>0</c:v>
                </c:pt>
                <c:pt idx="30">
                  <c:v>760.4</c:v>
                </c:pt>
                <c:pt idx="31">
                  <c:v>894.9</c:v>
                </c:pt>
                <c:pt idx="32">
                  <c:v>400</c:v>
                </c:pt>
                <c:pt idx="33">
                  <c:v>0</c:v>
                </c:pt>
                <c:pt idx="34">
                  <c:v>0</c:v>
                </c:pt>
                <c:pt idx="35">
                  <c:v>418.5</c:v>
                </c:pt>
                <c:pt idx="36">
                  <c:v>0</c:v>
                </c:pt>
                <c:pt idx="37">
                  <c:v>314.2</c:v>
                </c:pt>
                <c:pt idx="38">
                  <c:v>0</c:v>
                </c:pt>
                <c:pt idx="39">
                  <c:v>0</c:v>
                </c:pt>
                <c:pt idx="40">
                  <c:v>247.1</c:v>
                </c:pt>
                <c:pt idx="41">
                  <c:v>1503.4</c:v>
                </c:pt>
                <c:pt idx="42">
                  <c:v>801.9</c:v>
                </c:pt>
                <c:pt idx="43">
                  <c:v>512</c:v>
                </c:pt>
                <c:pt idx="44">
                  <c:v>581.70000000000005</c:v>
                </c:pt>
                <c:pt idx="45">
                  <c:v>0</c:v>
                </c:pt>
                <c:pt idx="46">
                  <c:v>0</c:v>
                </c:pt>
                <c:pt idx="47">
                  <c:v>467.9</c:v>
                </c:pt>
                <c:pt idx="48">
                  <c:v>0</c:v>
                </c:pt>
                <c:pt idx="49">
                  <c:v>291.7</c:v>
                </c:pt>
                <c:pt idx="50">
                  <c:v>422</c:v>
                </c:pt>
                <c:pt idx="51">
                  <c:v>0</c:v>
                </c:pt>
                <c:pt idx="52">
                  <c:v>895</c:v>
                </c:pt>
                <c:pt idx="53">
                  <c:v>199</c:v>
                </c:pt>
                <c:pt idx="54">
                  <c:v>527</c:v>
                </c:pt>
                <c:pt idx="55">
                  <c:v>1018</c:v>
                </c:pt>
                <c:pt idx="56">
                  <c:v>0</c:v>
                </c:pt>
                <c:pt idx="57">
                  <c:v>215</c:v>
                </c:pt>
                <c:pt idx="58">
                  <c:v>0</c:v>
                </c:pt>
                <c:pt idx="59">
                  <c:v>374</c:v>
                </c:pt>
                <c:pt idx="60">
                  <c:v>556</c:v>
                </c:pt>
                <c:pt idx="61">
                  <c:v>0</c:v>
                </c:pt>
                <c:pt idx="62">
                  <c:v>0</c:v>
                </c:pt>
                <c:pt idx="63">
                  <c:v>574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565504"/>
        <c:axId val="74567040"/>
      </c:lineChart>
      <c:dateAx>
        <c:axId val="7456550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4567040"/>
        <c:crosses val="autoZero"/>
        <c:auto val="1"/>
        <c:lblOffset val="100"/>
        <c:baseTimeUnit val="months"/>
      </c:dateAx>
      <c:valAx>
        <c:axId val="74567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4565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30507 SC 6-7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'30507'!$B$4:$B$70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'30507'!$D$4:$D$70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284.10000000000002</c:v>
                </c:pt>
                <c:pt idx="2">
                  <c:v>648.9</c:v>
                </c:pt>
                <c:pt idx="3">
                  <c:v>0</c:v>
                </c:pt>
                <c:pt idx="4">
                  <c:v>684.8</c:v>
                </c:pt>
                <c:pt idx="5">
                  <c:v>754.3</c:v>
                </c:pt>
                <c:pt idx="6">
                  <c:v>916.5</c:v>
                </c:pt>
                <c:pt idx="7">
                  <c:v>0</c:v>
                </c:pt>
                <c:pt idx="8">
                  <c:v>426</c:v>
                </c:pt>
                <c:pt idx="9">
                  <c:v>0</c:v>
                </c:pt>
                <c:pt idx="10">
                  <c:v>0</c:v>
                </c:pt>
                <c:pt idx="11">
                  <c:v>309.3</c:v>
                </c:pt>
                <c:pt idx="12">
                  <c:v>379.4</c:v>
                </c:pt>
                <c:pt idx="13">
                  <c:v>0</c:v>
                </c:pt>
                <c:pt idx="14">
                  <c:v>571</c:v>
                </c:pt>
                <c:pt idx="15">
                  <c:v>0</c:v>
                </c:pt>
                <c:pt idx="16">
                  <c:v>0</c:v>
                </c:pt>
                <c:pt idx="17">
                  <c:v>257.8</c:v>
                </c:pt>
                <c:pt idx="18">
                  <c:v>836.8</c:v>
                </c:pt>
                <c:pt idx="19">
                  <c:v>345.4</c:v>
                </c:pt>
                <c:pt idx="20">
                  <c:v>0</c:v>
                </c:pt>
                <c:pt idx="21">
                  <c:v>112.2</c:v>
                </c:pt>
                <c:pt idx="22">
                  <c:v>612.1</c:v>
                </c:pt>
                <c:pt idx="23">
                  <c:v>0</c:v>
                </c:pt>
                <c:pt idx="24">
                  <c:v>0</c:v>
                </c:pt>
                <c:pt idx="25">
                  <c:v>211.9</c:v>
                </c:pt>
                <c:pt idx="26">
                  <c:v>136.69999999999999</c:v>
                </c:pt>
                <c:pt idx="27">
                  <c:v>0</c:v>
                </c:pt>
                <c:pt idx="28">
                  <c:v>635.4</c:v>
                </c:pt>
                <c:pt idx="29">
                  <c:v>0</c:v>
                </c:pt>
                <c:pt idx="30">
                  <c:v>760.4</c:v>
                </c:pt>
                <c:pt idx="31">
                  <c:v>894.9</c:v>
                </c:pt>
                <c:pt idx="32">
                  <c:v>400</c:v>
                </c:pt>
                <c:pt idx="33">
                  <c:v>0</c:v>
                </c:pt>
                <c:pt idx="34">
                  <c:v>0</c:v>
                </c:pt>
                <c:pt idx="35">
                  <c:v>418.5</c:v>
                </c:pt>
                <c:pt idx="36">
                  <c:v>0</c:v>
                </c:pt>
                <c:pt idx="37">
                  <c:v>314.2</c:v>
                </c:pt>
                <c:pt idx="38">
                  <c:v>0</c:v>
                </c:pt>
                <c:pt idx="39">
                  <c:v>0</c:v>
                </c:pt>
                <c:pt idx="40">
                  <c:v>247.1</c:v>
                </c:pt>
                <c:pt idx="41">
                  <c:v>1503.4</c:v>
                </c:pt>
                <c:pt idx="42">
                  <c:v>801.9</c:v>
                </c:pt>
                <c:pt idx="43">
                  <c:v>512</c:v>
                </c:pt>
                <c:pt idx="44">
                  <c:v>581.70000000000005</c:v>
                </c:pt>
                <c:pt idx="45">
                  <c:v>0</c:v>
                </c:pt>
                <c:pt idx="46">
                  <c:v>0</c:v>
                </c:pt>
                <c:pt idx="47">
                  <c:v>467.9</c:v>
                </c:pt>
                <c:pt idx="48">
                  <c:v>0</c:v>
                </c:pt>
                <c:pt idx="49">
                  <c:v>291.7</c:v>
                </c:pt>
                <c:pt idx="50">
                  <c:v>422</c:v>
                </c:pt>
                <c:pt idx="51">
                  <c:v>0</c:v>
                </c:pt>
                <c:pt idx="52">
                  <c:v>895</c:v>
                </c:pt>
                <c:pt idx="53">
                  <c:v>199</c:v>
                </c:pt>
                <c:pt idx="54">
                  <c:v>527</c:v>
                </c:pt>
                <c:pt idx="55">
                  <c:v>1018</c:v>
                </c:pt>
                <c:pt idx="56">
                  <c:v>0</c:v>
                </c:pt>
                <c:pt idx="57">
                  <c:v>215</c:v>
                </c:pt>
                <c:pt idx="58">
                  <c:v>0</c:v>
                </c:pt>
                <c:pt idx="59">
                  <c:v>374</c:v>
                </c:pt>
                <c:pt idx="60">
                  <c:v>556</c:v>
                </c:pt>
                <c:pt idx="61">
                  <c:v>0</c:v>
                </c:pt>
                <c:pt idx="62">
                  <c:v>0</c:v>
                </c:pt>
                <c:pt idx="63">
                  <c:v>574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583424"/>
        <c:axId val="74589312"/>
      </c:lineChart>
      <c:dateAx>
        <c:axId val="7458342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589312"/>
        <c:crosses val="autoZero"/>
        <c:auto val="1"/>
        <c:lblOffset val="100"/>
        <c:baseTimeUnit val="months"/>
      </c:dateAx>
      <c:valAx>
        <c:axId val="7458931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583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30508 No Location Given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'30508'!$B$4:$B$70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'30508'!$D$4:$D$70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71.3</c:v>
                </c:pt>
                <c:pt idx="12">
                  <c:v>0</c:v>
                </c:pt>
                <c:pt idx="13">
                  <c:v>0</c:v>
                </c:pt>
                <c:pt idx="14">
                  <c:v>281.2</c:v>
                </c:pt>
                <c:pt idx="15">
                  <c:v>105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303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163328"/>
        <c:axId val="74164864"/>
      </c:lineChart>
      <c:dateAx>
        <c:axId val="7416332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4164864"/>
        <c:crosses val="autoZero"/>
        <c:auto val="1"/>
        <c:lblOffset val="100"/>
        <c:baseTimeUnit val="months"/>
      </c:dateAx>
      <c:valAx>
        <c:axId val="7416486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4163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845325368811657"/>
          <c:y val="6.745349048438284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30508 No Location Given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'30508'!$B$4:$B$70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'30508'!$D$4:$D$70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71.3</c:v>
                </c:pt>
                <c:pt idx="12">
                  <c:v>0</c:v>
                </c:pt>
                <c:pt idx="13">
                  <c:v>0</c:v>
                </c:pt>
                <c:pt idx="14">
                  <c:v>281.2</c:v>
                </c:pt>
                <c:pt idx="15">
                  <c:v>105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303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439296"/>
        <c:axId val="74187136"/>
      </c:lineChart>
      <c:dateAx>
        <c:axId val="7443929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187136"/>
        <c:crosses val="autoZero"/>
        <c:auto val="1"/>
        <c:lblOffset val="100"/>
        <c:baseTimeUnit val="months"/>
      </c:dateAx>
      <c:valAx>
        <c:axId val="7418713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439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30509 No</a:t>
            </a:r>
            <a:r>
              <a:rPr lang="en-US" sz="1400" baseline="0"/>
              <a:t> Location Give</a:t>
            </a:r>
            <a:r>
              <a:rPr lang="en-US" sz="1400"/>
              <a:t>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'30509'!$B$4:$B$70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'30509'!$D$4:$D$70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137.5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132.4</c:v>
                </c:pt>
                <c:pt idx="11">
                  <c:v>186.6</c:v>
                </c:pt>
                <c:pt idx="12">
                  <c:v>251.4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180.8</c:v>
                </c:pt>
                <c:pt idx="23">
                  <c:v>187.6</c:v>
                </c:pt>
                <c:pt idx="24">
                  <c:v>0</c:v>
                </c:pt>
                <c:pt idx="25">
                  <c:v>77.099999999999994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176.2</c:v>
                </c:pt>
                <c:pt idx="35">
                  <c:v>137.1</c:v>
                </c:pt>
                <c:pt idx="36">
                  <c:v>180.7</c:v>
                </c:pt>
                <c:pt idx="37">
                  <c:v>115.8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112.6</c:v>
                </c:pt>
                <c:pt idx="47">
                  <c:v>166</c:v>
                </c:pt>
                <c:pt idx="48">
                  <c:v>117</c:v>
                </c:pt>
                <c:pt idx="49">
                  <c:v>114.8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121</c:v>
                </c:pt>
                <c:pt idx="59">
                  <c:v>195</c:v>
                </c:pt>
                <c:pt idx="60">
                  <c:v>235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228096"/>
        <c:axId val="74229632"/>
      </c:lineChart>
      <c:dateAx>
        <c:axId val="7422809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4229632"/>
        <c:crosses val="autoZero"/>
        <c:auto val="1"/>
        <c:lblOffset val="100"/>
        <c:baseTimeUnit val="months"/>
      </c:dateAx>
      <c:valAx>
        <c:axId val="7422963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4228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054311784694629"/>
          <c:y val="7.4238910913306908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30509 No</a:t>
            </a:r>
            <a:r>
              <a:rPr lang="en-US" sz="800" baseline="0"/>
              <a:t> Location Give</a:t>
            </a:r>
            <a:r>
              <a:rPr lang="en-US" sz="800"/>
              <a:t>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'30509'!$B$4:$B$70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'30509'!$D$4:$D$70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137.5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132.4</c:v>
                </c:pt>
                <c:pt idx="11">
                  <c:v>186.6</c:v>
                </c:pt>
                <c:pt idx="12">
                  <c:v>251.4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180.8</c:v>
                </c:pt>
                <c:pt idx="23">
                  <c:v>187.6</c:v>
                </c:pt>
                <c:pt idx="24">
                  <c:v>0</c:v>
                </c:pt>
                <c:pt idx="25">
                  <c:v>77.099999999999994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176.2</c:v>
                </c:pt>
                <c:pt idx="35">
                  <c:v>137.1</c:v>
                </c:pt>
                <c:pt idx="36">
                  <c:v>180.7</c:v>
                </c:pt>
                <c:pt idx="37">
                  <c:v>115.8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112.6</c:v>
                </c:pt>
                <c:pt idx="47">
                  <c:v>166</c:v>
                </c:pt>
                <c:pt idx="48">
                  <c:v>117</c:v>
                </c:pt>
                <c:pt idx="49">
                  <c:v>114.8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121</c:v>
                </c:pt>
                <c:pt idx="59">
                  <c:v>195</c:v>
                </c:pt>
                <c:pt idx="60">
                  <c:v>235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254208"/>
        <c:axId val="74255744"/>
      </c:lineChart>
      <c:dateAx>
        <c:axId val="7425420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255744"/>
        <c:crosses val="autoZero"/>
        <c:auto val="1"/>
        <c:lblOffset val="100"/>
        <c:baseTimeUnit val="months"/>
      </c:dateAx>
      <c:valAx>
        <c:axId val="7425574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254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30510 Dining Hall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'30510'!$B$4:$B$70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40422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40238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39845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39600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'30510'!$D$4:$D$70</c:f>
              <c:numCache>
                <c:formatCode>_(* #,##0.0_);_(* \(#,##0.0\);_(* "-"??_);_(@_)</c:formatCode>
                <c:ptCount val="67"/>
                <c:pt idx="0">
                  <c:v>1427.2</c:v>
                </c:pt>
                <c:pt idx="1">
                  <c:v>1203.5</c:v>
                </c:pt>
                <c:pt idx="2">
                  <c:v>257.10000000000002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283.60000000000002</c:v>
                </c:pt>
                <c:pt idx="10">
                  <c:v>1307.9000000000001</c:v>
                </c:pt>
                <c:pt idx="11">
                  <c:v>1552.9</c:v>
                </c:pt>
                <c:pt idx="12">
                  <c:v>1949.1999999999998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114.3</c:v>
                </c:pt>
                <c:pt idx="22">
                  <c:v>1111.0999999999999</c:v>
                </c:pt>
                <c:pt idx="23">
                  <c:v>1457.6</c:v>
                </c:pt>
                <c:pt idx="24">
                  <c:v>932.1</c:v>
                </c:pt>
                <c:pt idx="25">
                  <c:v>1158.5</c:v>
                </c:pt>
                <c:pt idx="26">
                  <c:v>178.5</c:v>
                </c:pt>
                <c:pt idx="27">
                  <c:v>800.4</c:v>
                </c:pt>
                <c:pt idx="28">
                  <c:v>0</c:v>
                </c:pt>
                <c:pt idx="29">
                  <c:v>0</c:v>
                </c:pt>
                <c:pt idx="30">
                  <c:v>1011.6</c:v>
                </c:pt>
                <c:pt idx="31">
                  <c:v>1067.9000000000001</c:v>
                </c:pt>
                <c:pt idx="32">
                  <c:v>500.1</c:v>
                </c:pt>
                <c:pt idx="33">
                  <c:v>0</c:v>
                </c:pt>
                <c:pt idx="34">
                  <c:v>0</c:v>
                </c:pt>
                <c:pt idx="35">
                  <c:v>1302.0999999999999</c:v>
                </c:pt>
                <c:pt idx="36">
                  <c:v>0</c:v>
                </c:pt>
                <c:pt idx="37">
                  <c:v>0</c:v>
                </c:pt>
                <c:pt idx="38">
                  <c:v>404.4</c:v>
                </c:pt>
                <c:pt idx="39">
                  <c:v>1051.2</c:v>
                </c:pt>
                <c:pt idx="40">
                  <c:v>359.8</c:v>
                </c:pt>
                <c:pt idx="41">
                  <c:v>1007.7</c:v>
                </c:pt>
                <c:pt idx="42">
                  <c:v>1682.1</c:v>
                </c:pt>
                <c:pt idx="43">
                  <c:v>0</c:v>
                </c:pt>
                <c:pt idx="44">
                  <c:v>722.4</c:v>
                </c:pt>
                <c:pt idx="45">
                  <c:v>0</c:v>
                </c:pt>
                <c:pt idx="46">
                  <c:v>0</c:v>
                </c:pt>
                <c:pt idx="47">
                  <c:v>517.70000000000005</c:v>
                </c:pt>
                <c:pt idx="48">
                  <c:v>824.5</c:v>
                </c:pt>
                <c:pt idx="49">
                  <c:v>660.3</c:v>
                </c:pt>
                <c:pt idx="50">
                  <c:v>660.3</c:v>
                </c:pt>
                <c:pt idx="51">
                  <c:v>0</c:v>
                </c:pt>
                <c:pt idx="52">
                  <c:v>1394</c:v>
                </c:pt>
                <c:pt idx="53">
                  <c:v>375</c:v>
                </c:pt>
                <c:pt idx="54">
                  <c:v>1239</c:v>
                </c:pt>
                <c:pt idx="55">
                  <c:v>0</c:v>
                </c:pt>
                <c:pt idx="56">
                  <c:v>1091</c:v>
                </c:pt>
                <c:pt idx="57">
                  <c:v>0</c:v>
                </c:pt>
                <c:pt idx="58">
                  <c:v>1091</c:v>
                </c:pt>
                <c:pt idx="59">
                  <c:v>1255</c:v>
                </c:pt>
                <c:pt idx="60">
                  <c:v>301</c:v>
                </c:pt>
                <c:pt idx="61">
                  <c:v>227</c:v>
                </c:pt>
                <c:pt idx="62">
                  <c:v>262</c:v>
                </c:pt>
                <c:pt idx="63">
                  <c:v>713</c:v>
                </c:pt>
                <c:pt idx="64">
                  <c:v>569</c:v>
                </c:pt>
                <c:pt idx="65">
                  <c:v>2106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13088"/>
        <c:axId val="74335360"/>
      </c:lineChart>
      <c:dateAx>
        <c:axId val="7431308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4335360"/>
        <c:crosses val="autoZero"/>
        <c:auto val="1"/>
        <c:lblOffset val="100"/>
        <c:baseTimeUnit val="months"/>
      </c:dateAx>
      <c:valAx>
        <c:axId val="7433536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4313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30510 Dining Hall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'30510'!$B$4:$B$70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40422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40238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39845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39600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'30510'!$D$4:$D$70</c:f>
              <c:numCache>
                <c:formatCode>_(* #,##0.0_);_(* \(#,##0.0\);_(* "-"??_);_(@_)</c:formatCode>
                <c:ptCount val="67"/>
                <c:pt idx="0">
                  <c:v>1427.2</c:v>
                </c:pt>
                <c:pt idx="1">
                  <c:v>1203.5</c:v>
                </c:pt>
                <c:pt idx="2">
                  <c:v>257.10000000000002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283.60000000000002</c:v>
                </c:pt>
                <c:pt idx="10">
                  <c:v>1307.9000000000001</c:v>
                </c:pt>
                <c:pt idx="11">
                  <c:v>1552.9</c:v>
                </c:pt>
                <c:pt idx="12">
                  <c:v>1949.1999999999998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114.3</c:v>
                </c:pt>
                <c:pt idx="22">
                  <c:v>1111.0999999999999</c:v>
                </c:pt>
                <c:pt idx="23">
                  <c:v>1457.6</c:v>
                </c:pt>
                <c:pt idx="24">
                  <c:v>932.1</c:v>
                </c:pt>
                <c:pt idx="25">
                  <c:v>1158.5</c:v>
                </c:pt>
                <c:pt idx="26">
                  <c:v>178.5</c:v>
                </c:pt>
                <c:pt idx="27">
                  <c:v>800.4</c:v>
                </c:pt>
                <c:pt idx="28">
                  <c:v>0</c:v>
                </c:pt>
                <c:pt idx="29">
                  <c:v>0</c:v>
                </c:pt>
                <c:pt idx="30">
                  <c:v>1011.6</c:v>
                </c:pt>
                <c:pt idx="31">
                  <c:v>1067.9000000000001</c:v>
                </c:pt>
                <c:pt idx="32">
                  <c:v>500.1</c:v>
                </c:pt>
                <c:pt idx="33">
                  <c:v>0</c:v>
                </c:pt>
                <c:pt idx="34">
                  <c:v>0</c:v>
                </c:pt>
                <c:pt idx="35">
                  <c:v>1302.0999999999999</c:v>
                </c:pt>
                <c:pt idx="36">
                  <c:v>0</c:v>
                </c:pt>
                <c:pt idx="37">
                  <c:v>0</c:v>
                </c:pt>
                <c:pt idx="38">
                  <c:v>404.4</c:v>
                </c:pt>
                <c:pt idx="39">
                  <c:v>1051.2</c:v>
                </c:pt>
                <c:pt idx="40">
                  <c:v>359.8</c:v>
                </c:pt>
                <c:pt idx="41">
                  <c:v>1007.7</c:v>
                </c:pt>
                <c:pt idx="42">
                  <c:v>1682.1</c:v>
                </c:pt>
                <c:pt idx="43">
                  <c:v>0</c:v>
                </c:pt>
                <c:pt idx="44">
                  <c:v>722.4</c:v>
                </c:pt>
                <c:pt idx="45">
                  <c:v>0</c:v>
                </c:pt>
                <c:pt idx="46">
                  <c:v>0</c:v>
                </c:pt>
                <c:pt idx="47">
                  <c:v>517.70000000000005</c:v>
                </c:pt>
                <c:pt idx="48">
                  <c:v>824.5</c:v>
                </c:pt>
                <c:pt idx="49">
                  <c:v>660.3</c:v>
                </c:pt>
                <c:pt idx="50">
                  <c:v>660.3</c:v>
                </c:pt>
                <c:pt idx="51">
                  <c:v>0</c:v>
                </c:pt>
                <c:pt idx="52">
                  <c:v>1394</c:v>
                </c:pt>
                <c:pt idx="53">
                  <c:v>375</c:v>
                </c:pt>
                <c:pt idx="54">
                  <c:v>1239</c:v>
                </c:pt>
                <c:pt idx="55">
                  <c:v>0</c:v>
                </c:pt>
                <c:pt idx="56">
                  <c:v>1091</c:v>
                </c:pt>
                <c:pt idx="57">
                  <c:v>0</c:v>
                </c:pt>
                <c:pt idx="58">
                  <c:v>1091</c:v>
                </c:pt>
                <c:pt idx="59">
                  <c:v>1255</c:v>
                </c:pt>
                <c:pt idx="60">
                  <c:v>301</c:v>
                </c:pt>
                <c:pt idx="61">
                  <c:v>227</c:v>
                </c:pt>
                <c:pt idx="62">
                  <c:v>262</c:v>
                </c:pt>
                <c:pt idx="63">
                  <c:v>713</c:v>
                </c:pt>
                <c:pt idx="64">
                  <c:v>569</c:v>
                </c:pt>
                <c:pt idx="65">
                  <c:v>2106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039872"/>
        <c:axId val="75041408"/>
      </c:lineChart>
      <c:dateAx>
        <c:axId val="75039872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5041408"/>
        <c:crosses val="autoZero"/>
        <c:auto val="1"/>
        <c:lblOffset val="100"/>
        <c:baseTimeUnit val="months"/>
      </c:dateAx>
      <c:valAx>
        <c:axId val="7504140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50398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30515</a:t>
            </a:r>
            <a:r>
              <a:rPr lang="en-US" sz="1400" baseline="0"/>
              <a:t> No Location Given</a:t>
            </a:r>
            <a:r>
              <a:rPr lang="en-US" sz="1400"/>
              <a:t>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'30515'!$B$4:$B$70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'30515'!$D$4:$D$70</c:f>
              <c:numCache>
                <c:formatCode>_(* #,##0.0_);_(* \(#,##0.0\);_(* "-"??_);_(@_)</c:formatCode>
                <c:ptCount val="67"/>
                <c:pt idx="0">
                  <c:v>141.69999999999999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78.5</c:v>
                </c:pt>
                <c:pt idx="9">
                  <c:v>0</c:v>
                </c:pt>
                <c:pt idx="10">
                  <c:v>0</c:v>
                </c:pt>
                <c:pt idx="11">
                  <c:v>147.1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97.7</c:v>
                </c:pt>
                <c:pt idx="23">
                  <c:v>0</c:v>
                </c:pt>
                <c:pt idx="24">
                  <c:v>0</c:v>
                </c:pt>
                <c:pt idx="25">
                  <c:v>59.6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85.7</c:v>
                </c:pt>
                <c:pt idx="35">
                  <c:v>0</c:v>
                </c:pt>
                <c:pt idx="36">
                  <c:v>100.4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78.5</c:v>
                </c:pt>
                <c:pt idx="47">
                  <c:v>0</c:v>
                </c:pt>
                <c:pt idx="48">
                  <c:v>99.5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97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065984"/>
        <c:axId val="75080064"/>
      </c:lineChart>
      <c:dateAx>
        <c:axId val="7506598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5080064"/>
        <c:crosses val="autoZero"/>
        <c:auto val="1"/>
        <c:lblOffset val="100"/>
        <c:baseTimeUnit val="months"/>
      </c:dateAx>
      <c:valAx>
        <c:axId val="7508006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506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845325368811657"/>
          <c:y val="0.10138059262900313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30515</a:t>
            </a:r>
            <a:r>
              <a:rPr lang="en-US" sz="800" baseline="0"/>
              <a:t> No Location Given</a:t>
            </a:r>
            <a:r>
              <a:rPr lang="en-US" sz="800"/>
              <a:t>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'30515'!$B$4:$B$70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'30515'!$D$4:$D$70</c:f>
              <c:numCache>
                <c:formatCode>_(* #,##0.0_);_(* \(#,##0.0\);_(* "-"??_);_(@_)</c:formatCode>
                <c:ptCount val="67"/>
                <c:pt idx="0">
                  <c:v>141.69999999999999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78.5</c:v>
                </c:pt>
                <c:pt idx="9">
                  <c:v>0</c:v>
                </c:pt>
                <c:pt idx="10">
                  <c:v>0</c:v>
                </c:pt>
                <c:pt idx="11">
                  <c:v>147.1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97.7</c:v>
                </c:pt>
                <c:pt idx="23">
                  <c:v>0</c:v>
                </c:pt>
                <c:pt idx="24">
                  <c:v>0</c:v>
                </c:pt>
                <c:pt idx="25">
                  <c:v>59.6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85.7</c:v>
                </c:pt>
                <c:pt idx="35">
                  <c:v>0</c:v>
                </c:pt>
                <c:pt idx="36">
                  <c:v>100.4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78.5</c:v>
                </c:pt>
                <c:pt idx="47">
                  <c:v>0</c:v>
                </c:pt>
                <c:pt idx="48">
                  <c:v>99.5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97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100544"/>
        <c:axId val="75102080"/>
      </c:lineChart>
      <c:dateAx>
        <c:axId val="7510054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5102080"/>
        <c:crosses val="autoZero"/>
        <c:auto val="1"/>
        <c:lblOffset val="100"/>
        <c:baseTimeUnit val="months"/>
      </c:dateAx>
      <c:valAx>
        <c:axId val="7510208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5100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30517 NC Laundry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'30517'!$B$4:$B$70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'30517'!$D$4:$D$70</c:f>
              <c:numCache>
                <c:formatCode>_(* #,##0.0_);_(* \(#,##0.0\);_(* "-"??_);_(@_)</c:formatCode>
                <c:ptCount val="67"/>
                <c:pt idx="0">
                  <c:v>147.69999999999999</c:v>
                </c:pt>
                <c:pt idx="1">
                  <c:v>138.9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151.4</c:v>
                </c:pt>
                <c:pt idx="11">
                  <c:v>215.3</c:v>
                </c:pt>
                <c:pt idx="12">
                  <c:v>220.6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240</c:v>
                </c:pt>
                <c:pt idx="23">
                  <c:v>263.3</c:v>
                </c:pt>
                <c:pt idx="24">
                  <c:v>0</c:v>
                </c:pt>
                <c:pt idx="25">
                  <c:v>152.4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214.9</c:v>
                </c:pt>
                <c:pt idx="35">
                  <c:v>172</c:v>
                </c:pt>
                <c:pt idx="36">
                  <c:v>208.8</c:v>
                </c:pt>
                <c:pt idx="37">
                  <c:v>230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143.30000000000001</c:v>
                </c:pt>
                <c:pt idx="47">
                  <c:v>222.3</c:v>
                </c:pt>
                <c:pt idx="48">
                  <c:v>173</c:v>
                </c:pt>
                <c:pt idx="49">
                  <c:v>214.6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389</c:v>
                </c:pt>
                <c:pt idx="60">
                  <c:v>268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844032"/>
        <c:axId val="74845568"/>
      </c:lineChart>
      <c:dateAx>
        <c:axId val="74844032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4845568"/>
        <c:crosses val="autoZero"/>
        <c:auto val="1"/>
        <c:lblOffset val="100"/>
        <c:baseTimeUnit val="months"/>
      </c:dateAx>
      <c:valAx>
        <c:axId val="7484556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4844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30517 NC Laundry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'30517'!$B$4:$B$70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'30517'!$D$4:$D$70</c:f>
              <c:numCache>
                <c:formatCode>_(* #,##0.0_);_(* \(#,##0.0\);_(* "-"??_);_(@_)</c:formatCode>
                <c:ptCount val="67"/>
                <c:pt idx="0">
                  <c:v>147.69999999999999</c:v>
                </c:pt>
                <c:pt idx="1">
                  <c:v>138.9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151.4</c:v>
                </c:pt>
                <c:pt idx="11">
                  <c:v>215.3</c:v>
                </c:pt>
                <c:pt idx="12">
                  <c:v>220.6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240</c:v>
                </c:pt>
                <c:pt idx="23">
                  <c:v>263.3</c:v>
                </c:pt>
                <c:pt idx="24">
                  <c:v>0</c:v>
                </c:pt>
                <c:pt idx="25">
                  <c:v>152.4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214.9</c:v>
                </c:pt>
                <c:pt idx="35">
                  <c:v>172</c:v>
                </c:pt>
                <c:pt idx="36">
                  <c:v>208.8</c:v>
                </c:pt>
                <c:pt idx="37">
                  <c:v>230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143.30000000000001</c:v>
                </c:pt>
                <c:pt idx="47">
                  <c:v>222.3</c:v>
                </c:pt>
                <c:pt idx="48">
                  <c:v>173</c:v>
                </c:pt>
                <c:pt idx="49">
                  <c:v>214.6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389</c:v>
                </c:pt>
                <c:pt idx="60">
                  <c:v>268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878336"/>
        <c:axId val="74888320"/>
      </c:lineChart>
      <c:dateAx>
        <c:axId val="7487833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888320"/>
        <c:crosses val="autoZero"/>
        <c:auto val="1"/>
        <c:lblOffset val="100"/>
        <c:baseTimeUnit val="months"/>
      </c:dateAx>
      <c:valAx>
        <c:axId val="7488832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4878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Account</a:t>
            </a:r>
            <a:r>
              <a:rPr lang="en-US" sz="1400" baseline="0"/>
              <a:t> </a:t>
            </a:r>
            <a:r>
              <a:rPr lang="en-US" sz="1400"/>
              <a:t>30518 Brown House Propane</a:t>
            </a:r>
            <a:r>
              <a:rPr lang="en-US" sz="1400" baseline="0"/>
              <a:t> Purchases</a:t>
            </a:r>
            <a:r>
              <a:rPr lang="en-US" sz="14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'30518'!$B$4:$B$70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'30518'!$D$4:$D$70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106.3</c:v>
                </c:pt>
                <c:pt idx="3">
                  <c:v>0</c:v>
                </c:pt>
                <c:pt idx="4">
                  <c:v>175.3</c:v>
                </c:pt>
                <c:pt idx="5">
                  <c:v>262</c:v>
                </c:pt>
                <c:pt idx="6">
                  <c:v>276.3</c:v>
                </c:pt>
                <c:pt idx="7">
                  <c:v>212.4</c:v>
                </c:pt>
                <c:pt idx="8">
                  <c:v>0</c:v>
                </c:pt>
                <c:pt idx="9">
                  <c:v>84</c:v>
                </c:pt>
                <c:pt idx="10">
                  <c:v>0</c:v>
                </c:pt>
                <c:pt idx="11">
                  <c:v>98.5</c:v>
                </c:pt>
                <c:pt idx="12">
                  <c:v>0</c:v>
                </c:pt>
                <c:pt idx="13">
                  <c:v>78.2</c:v>
                </c:pt>
                <c:pt idx="14">
                  <c:v>166.9</c:v>
                </c:pt>
                <c:pt idx="15">
                  <c:v>312.3</c:v>
                </c:pt>
                <c:pt idx="16">
                  <c:v>0</c:v>
                </c:pt>
                <c:pt idx="17">
                  <c:v>636</c:v>
                </c:pt>
                <c:pt idx="18">
                  <c:v>322.60000000000002</c:v>
                </c:pt>
                <c:pt idx="19">
                  <c:v>213.4</c:v>
                </c:pt>
                <c:pt idx="20">
                  <c:v>98.7</c:v>
                </c:pt>
                <c:pt idx="21">
                  <c:v>57.6</c:v>
                </c:pt>
                <c:pt idx="22">
                  <c:v>67.8</c:v>
                </c:pt>
                <c:pt idx="23">
                  <c:v>0</c:v>
                </c:pt>
                <c:pt idx="24">
                  <c:v>0</c:v>
                </c:pt>
                <c:pt idx="25">
                  <c:v>114.4</c:v>
                </c:pt>
                <c:pt idx="26">
                  <c:v>0</c:v>
                </c:pt>
                <c:pt idx="27">
                  <c:v>89.7</c:v>
                </c:pt>
                <c:pt idx="28">
                  <c:v>121.7</c:v>
                </c:pt>
                <c:pt idx="29">
                  <c:v>111.2</c:v>
                </c:pt>
                <c:pt idx="30">
                  <c:v>238.9</c:v>
                </c:pt>
                <c:pt idx="31">
                  <c:v>0</c:v>
                </c:pt>
                <c:pt idx="32">
                  <c:v>90.1</c:v>
                </c:pt>
                <c:pt idx="33">
                  <c:v>0</c:v>
                </c:pt>
                <c:pt idx="34">
                  <c:v>96.6</c:v>
                </c:pt>
                <c:pt idx="35">
                  <c:v>0</c:v>
                </c:pt>
                <c:pt idx="36">
                  <c:v>97.9</c:v>
                </c:pt>
                <c:pt idx="37">
                  <c:v>125.2</c:v>
                </c:pt>
                <c:pt idx="38">
                  <c:v>0</c:v>
                </c:pt>
                <c:pt idx="39">
                  <c:v>0</c:v>
                </c:pt>
                <c:pt idx="40">
                  <c:v>135.1</c:v>
                </c:pt>
                <c:pt idx="41">
                  <c:v>284</c:v>
                </c:pt>
                <c:pt idx="42">
                  <c:v>175.6</c:v>
                </c:pt>
                <c:pt idx="43">
                  <c:v>129.19999999999999</c:v>
                </c:pt>
                <c:pt idx="44">
                  <c:v>0</c:v>
                </c:pt>
                <c:pt idx="45">
                  <c:v>0</c:v>
                </c:pt>
                <c:pt idx="46">
                  <c:v>90.6</c:v>
                </c:pt>
                <c:pt idx="47">
                  <c:v>0</c:v>
                </c:pt>
                <c:pt idx="48">
                  <c:v>96.6</c:v>
                </c:pt>
                <c:pt idx="49">
                  <c:v>85.7</c:v>
                </c:pt>
                <c:pt idx="50">
                  <c:v>117</c:v>
                </c:pt>
                <c:pt idx="51">
                  <c:v>0</c:v>
                </c:pt>
                <c:pt idx="52">
                  <c:v>155</c:v>
                </c:pt>
                <c:pt idx="53">
                  <c:v>145</c:v>
                </c:pt>
                <c:pt idx="54">
                  <c:v>204</c:v>
                </c:pt>
                <c:pt idx="55">
                  <c:v>0</c:v>
                </c:pt>
                <c:pt idx="56">
                  <c:v>120</c:v>
                </c:pt>
                <c:pt idx="57">
                  <c:v>0</c:v>
                </c:pt>
                <c:pt idx="58">
                  <c:v>92</c:v>
                </c:pt>
                <c:pt idx="59">
                  <c:v>136</c:v>
                </c:pt>
                <c:pt idx="60">
                  <c:v>98</c:v>
                </c:pt>
                <c:pt idx="61">
                  <c:v>0</c:v>
                </c:pt>
                <c:pt idx="62">
                  <c:v>84</c:v>
                </c:pt>
                <c:pt idx="63">
                  <c:v>112</c:v>
                </c:pt>
                <c:pt idx="64">
                  <c:v>95</c:v>
                </c:pt>
                <c:pt idx="65">
                  <c:v>165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457664"/>
        <c:axId val="75459200"/>
      </c:lineChart>
      <c:dateAx>
        <c:axId val="7545766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75459200"/>
        <c:crosses val="autoZero"/>
        <c:auto val="1"/>
        <c:lblOffset val="100"/>
        <c:baseTimeUnit val="months"/>
      </c:dateAx>
      <c:valAx>
        <c:axId val="7545920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75457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/>
            </a:pPr>
            <a:r>
              <a:rPr lang="en-US" sz="800"/>
              <a:t>Account</a:t>
            </a:r>
            <a:r>
              <a:rPr lang="en-US" sz="800" baseline="0"/>
              <a:t> </a:t>
            </a:r>
            <a:r>
              <a:rPr lang="en-US" sz="800"/>
              <a:t>30518 Brown House Propane</a:t>
            </a:r>
            <a:r>
              <a:rPr lang="en-US" sz="800" baseline="0"/>
              <a:t> Purchases</a:t>
            </a:r>
            <a:r>
              <a:rPr lang="en-US" sz="800"/>
              <a:t>
(gallons)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351780087050263E-2"/>
          <c:y val="0.18416485900216922"/>
          <c:w val="0.88118924789573716"/>
          <c:h val="0.67038404411057573"/>
        </c:manualLayout>
      </c:layout>
      <c:lineChart>
        <c:grouping val="standard"/>
        <c:varyColors val="0"/>
        <c:ser>
          <c:idx val="0"/>
          <c:order val="0"/>
          <c:tx>
            <c:v>Purchase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'30518'!$B$4:$B$70</c:f>
              <c:numCache>
                <c:formatCode>[$-409]mmm\-yy;@</c:formatCode>
                <c:ptCount val="67"/>
                <c:pt idx="0">
                  <c:v>41091</c:v>
                </c:pt>
                <c:pt idx="1">
                  <c:v>41061</c:v>
                </c:pt>
                <c:pt idx="2">
                  <c:v>41030</c:v>
                </c:pt>
                <c:pt idx="3">
                  <c:v>41000</c:v>
                </c:pt>
                <c:pt idx="4">
                  <c:v>40969</c:v>
                </c:pt>
                <c:pt idx="5">
                  <c:v>40940</c:v>
                </c:pt>
                <c:pt idx="6">
                  <c:v>40909</c:v>
                </c:pt>
                <c:pt idx="7">
                  <c:v>40878</c:v>
                </c:pt>
                <c:pt idx="8">
                  <c:v>40848</c:v>
                </c:pt>
                <c:pt idx="9">
                  <c:v>40817</c:v>
                </c:pt>
                <c:pt idx="10">
                  <c:v>40787</c:v>
                </c:pt>
                <c:pt idx="11">
                  <c:v>40756</c:v>
                </c:pt>
                <c:pt idx="12">
                  <c:v>40725</c:v>
                </c:pt>
                <c:pt idx="13">
                  <c:v>40695</c:v>
                </c:pt>
                <c:pt idx="14">
                  <c:v>40664</c:v>
                </c:pt>
                <c:pt idx="15">
                  <c:v>40634</c:v>
                </c:pt>
                <c:pt idx="16">
                  <c:v>40603</c:v>
                </c:pt>
                <c:pt idx="17">
                  <c:v>40575</c:v>
                </c:pt>
                <c:pt idx="18">
                  <c:v>40544</c:v>
                </c:pt>
                <c:pt idx="19">
                  <c:v>40513</c:v>
                </c:pt>
                <c:pt idx="20">
                  <c:v>40483</c:v>
                </c:pt>
                <c:pt idx="21">
                  <c:v>40452</c:v>
                </c:pt>
                <c:pt idx="22">
                  <c:v>40422</c:v>
                </c:pt>
                <c:pt idx="23">
                  <c:v>40391</c:v>
                </c:pt>
                <c:pt idx="24">
                  <c:v>40360</c:v>
                </c:pt>
                <c:pt idx="25">
                  <c:v>40330</c:v>
                </c:pt>
                <c:pt idx="26">
                  <c:v>40299</c:v>
                </c:pt>
                <c:pt idx="27">
                  <c:v>40269</c:v>
                </c:pt>
                <c:pt idx="28">
                  <c:v>40238</c:v>
                </c:pt>
                <c:pt idx="29">
                  <c:v>40210</c:v>
                </c:pt>
                <c:pt idx="30">
                  <c:v>40179</c:v>
                </c:pt>
                <c:pt idx="31">
                  <c:v>40148</c:v>
                </c:pt>
                <c:pt idx="32">
                  <c:v>40118</c:v>
                </c:pt>
                <c:pt idx="33">
                  <c:v>40087</c:v>
                </c:pt>
                <c:pt idx="34">
                  <c:v>40057</c:v>
                </c:pt>
                <c:pt idx="35">
                  <c:v>40026</c:v>
                </c:pt>
                <c:pt idx="36">
                  <c:v>39995</c:v>
                </c:pt>
                <c:pt idx="37">
                  <c:v>39965</c:v>
                </c:pt>
                <c:pt idx="38">
                  <c:v>39934</c:v>
                </c:pt>
                <c:pt idx="39">
                  <c:v>39904</c:v>
                </c:pt>
                <c:pt idx="40">
                  <c:v>39873</c:v>
                </c:pt>
                <c:pt idx="41">
                  <c:v>39845</c:v>
                </c:pt>
                <c:pt idx="42">
                  <c:v>39814</c:v>
                </c:pt>
                <c:pt idx="43">
                  <c:v>39783</c:v>
                </c:pt>
                <c:pt idx="44">
                  <c:v>39753</c:v>
                </c:pt>
                <c:pt idx="45">
                  <c:v>39722</c:v>
                </c:pt>
                <c:pt idx="46">
                  <c:v>39692</c:v>
                </c:pt>
                <c:pt idx="47">
                  <c:v>39661</c:v>
                </c:pt>
                <c:pt idx="48">
                  <c:v>39630</c:v>
                </c:pt>
                <c:pt idx="49">
                  <c:v>39600</c:v>
                </c:pt>
                <c:pt idx="50">
                  <c:v>39569</c:v>
                </c:pt>
                <c:pt idx="51">
                  <c:v>39539</c:v>
                </c:pt>
                <c:pt idx="52">
                  <c:v>39508</c:v>
                </c:pt>
                <c:pt idx="53">
                  <c:v>39479</c:v>
                </c:pt>
                <c:pt idx="54">
                  <c:v>39448</c:v>
                </c:pt>
                <c:pt idx="55">
                  <c:v>39417</c:v>
                </c:pt>
                <c:pt idx="56">
                  <c:v>39387</c:v>
                </c:pt>
                <c:pt idx="57">
                  <c:v>39356</c:v>
                </c:pt>
                <c:pt idx="58">
                  <c:v>39326</c:v>
                </c:pt>
                <c:pt idx="59">
                  <c:v>39295</c:v>
                </c:pt>
                <c:pt idx="60">
                  <c:v>39264</c:v>
                </c:pt>
                <c:pt idx="61">
                  <c:v>39234</c:v>
                </c:pt>
                <c:pt idx="62">
                  <c:v>39203</c:v>
                </c:pt>
                <c:pt idx="63">
                  <c:v>39173</c:v>
                </c:pt>
                <c:pt idx="64">
                  <c:v>39142</c:v>
                </c:pt>
                <c:pt idx="65">
                  <c:v>39114</c:v>
                </c:pt>
                <c:pt idx="66">
                  <c:v>39083</c:v>
                </c:pt>
              </c:numCache>
            </c:numRef>
          </c:cat>
          <c:val>
            <c:numRef>
              <c:f>'30518'!$D$4:$D$70</c:f>
              <c:numCache>
                <c:formatCode>_(* #,##0.0_);_(* \(#,##0.0\);_(* "-"??_);_(@_)</c:formatCode>
                <c:ptCount val="67"/>
                <c:pt idx="0">
                  <c:v>0</c:v>
                </c:pt>
                <c:pt idx="1">
                  <c:v>0</c:v>
                </c:pt>
                <c:pt idx="2">
                  <c:v>106.3</c:v>
                </c:pt>
                <c:pt idx="3">
                  <c:v>0</c:v>
                </c:pt>
                <c:pt idx="4">
                  <c:v>175.3</c:v>
                </c:pt>
                <c:pt idx="5">
                  <c:v>262</c:v>
                </c:pt>
                <c:pt idx="6">
                  <c:v>276.3</c:v>
                </c:pt>
                <c:pt idx="7">
                  <c:v>212.4</c:v>
                </c:pt>
                <c:pt idx="8">
                  <c:v>0</c:v>
                </c:pt>
                <c:pt idx="9">
                  <c:v>84</c:v>
                </c:pt>
                <c:pt idx="10">
                  <c:v>0</c:v>
                </c:pt>
                <c:pt idx="11">
                  <c:v>98.5</c:v>
                </c:pt>
                <c:pt idx="12">
                  <c:v>0</c:v>
                </c:pt>
                <c:pt idx="13">
                  <c:v>78.2</c:v>
                </c:pt>
                <c:pt idx="14">
                  <c:v>166.9</c:v>
                </c:pt>
                <c:pt idx="15">
                  <c:v>312.3</c:v>
                </c:pt>
                <c:pt idx="16">
                  <c:v>0</c:v>
                </c:pt>
                <c:pt idx="17">
                  <c:v>636</c:v>
                </c:pt>
                <c:pt idx="18">
                  <c:v>322.60000000000002</c:v>
                </c:pt>
                <c:pt idx="19">
                  <c:v>213.4</c:v>
                </c:pt>
                <c:pt idx="20">
                  <c:v>98.7</c:v>
                </c:pt>
                <c:pt idx="21">
                  <c:v>57.6</c:v>
                </c:pt>
                <c:pt idx="22">
                  <c:v>67.8</c:v>
                </c:pt>
                <c:pt idx="23">
                  <c:v>0</c:v>
                </c:pt>
                <c:pt idx="24">
                  <c:v>0</c:v>
                </c:pt>
                <c:pt idx="25">
                  <c:v>114.4</c:v>
                </c:pt>
                <c:pt idx="26">
                  <c:v>0</c:v>
                </c:pt>
                <c:pt idx="27">
                  <c:v>89.7</c:v>
                </c:pt>
                <c:pt idx="28">
                  <c:v>121.7</c:v>
                </c:pt>
                <c:pt idx="29">
                  <c:v>111.2</c:v>
                </c:pt>
                <c:pt idx="30">
                  <c:v>238.9</c:v>
                </c:pt>
                <c:pt idx="31">
                  <c:v>0</c:v>
                </c:pt>
                <c:pt idx="32">
                  <c:v>90.1</c:v>
                </c:pt>
                <c:pt idx="33">
                  <c:v>0</c:v>
                </c:pt>
                <c:pt idx="34">
                  <c:v>96.6</c:v>
                </c:pt>
                <c:pt idx="35">
                  <c:v>0</c:v>
                </c:pt>
                <c:pt idx="36">
                  <c:v>97.9</c:v>
                </c:pt>
                <c:pt idx="37">
                  <c:v>125.2</c:v>
                </c:pt>
                <c:pt idx="38">
                  <c:v>0</c:v>
                </c:pt>
                <c:pt idx="39">
                  <c:v>0</c:v>
                </c:pt>
                <c:pt idx="40">
                  <c:v>135.1</c:v>
                </c:pt>
                <c:pt idx="41">
                  <c:v>284</c:v>
                </c:pt>
                <c:pt idx="42">
                  <c:v>175.6</c:v>
                </c:pt>
                <c:pt idx="43">
                  <c:v>129.19999999999999</c:v>
                </c:pt>
                <c:pt idx="44">
                  <c:v>0</c:v>
                </c:pt>
                <c:pt idx="45">
                  <c:v>0</c:v>
                </c:pt>
                <c:pt idx="46">
                  <c:v>90.6</c:v>
                </c:pt>
                <c:pt idx="47">
                  <c:v>0</c:v>
                </c:pt>
                <c:pt idx="48">
                  <c:v>96.6</c:v>
                </c:pt>
                <c:pt idx="49">
                  <c:v>85.7</c:v>
                </c:pt>
                <c:pt idx="50">
                  <c:v>117</c:v>
                </c:pt>
                <c:pt idx="51">
                  <c:v>0</c:v>
                </c:pt>
                <c:pt idx="52">
                  <c:v>155</c:v>
                </c:pt>
                <c:pt idx="53">
                  <c:v>145</c:v>
                </c:pt>
                <c:pt idx="54">
                  <c:v>204</c:v>
                </c:pt>
                <c:pt idx="55">
                  <c:v>0</c:v>
                </c:pt>
                <c:pt idx="56">
                  <c:v>120</c:v>
                </c:pt>
                <c:pt idx="57">
                  <c:v>0</c:v>
                </c:pt>
                <c:pt idx="58">
                  <c:v>92</c:v>
                </c:pt>
                <c:pt idx="59">
                  <c:v>136</c:v>
                </c:pt>
                <c:pt idx="60">
                  <c:v>98</c:v>
                </c:pt>
                <c:pt idx="61">
                  <c:v>0</c:v>
                </c:pt>
                <c:pt idx="62">
                  <c:v>84</c:v>
                </c:pt>
                <c:pt idx="63">
                  <c:v>112</c:v>
                </c:pt>
                <c:pt idx="64">
                  <c:v>95</c:v>
                </c:pt>
                <c:pt idx="65">
                  <c:v>165</c:v>
                </c:pt>
                <c:pt idx="6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471488"/>
        <c:axId val="75485568"/>
      </c:lineChart>
      <c:dateAx>
        <c:axId val="7547148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5485568"/>
        <c:crosses val="autoZero"/>
        <c:auto val="1"/>
        <c:lblOffset val="100"/>
        <c:baseTimeUnit val="months"/>
      </c:dateAx>
      <c:valAx>
        <c:axId val="7548556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75471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18366121162751"/>
          <c:y val="4.3704518983148664E-2"/>
          <c:w val="0.1981089197706086"/>
          <c:h val="6.135008495132665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68035</xdr:colOff>
      <xdr:row>3</xdr:row>
      <xdr:rowOff>149678</xdr:rowOff>
    </xdr:from>
    <xdr:to>
      <xdr:col>16</xdr:col>
      <xdr:colOff>72797</xdr:colOff>
      <xdr:row>23</xdr:row>
      <xdr:rowOff>82998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</xdr:row>
      <xdr:rowOff>0</xdr:rowOff>
    </xdr:from>
    <xdr:to>
      <xdr:col>21</xdr:col>
      <xdr:colOff>112776</xdr:colOff>
      <xdr:row>11</xdr:row>
      <xdr:rowOff>48768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108857</xdr:colOff>
      <xdr:row>3</xdr:row>
      <xdr:rowOff>122464</xdr:rowOff>
    </xdr:from>
    <xdr:to>
      <xdr:col>15</xdr:col>
      <xdr:colOff>594632</xdr:colOff>
      <xdr:row>23</xdr:row>
      <xdr:rowOff>55784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</xdr:row>
      <xdr:rowOff>0</xdr:rowOff>
    </xdr:from>
    <xdr:to>
      <xdr:col>21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108857</xdr:colOff>
      <xdr:row>3</xdr:row>
      <xdr:rowOff>108857</xdr:rowOff>
    </xdr:from>
    <xdr:to>
      <xdr:col>15</xdr:col>
      <xdr:colOff>594632</xdr:colOff>
      <xdr:row>23</xdr:row>
      <xdr:rowOff>42177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</xdr:row>
      <xdr:rowOff>0</xdr:rowOff>
    </xdr:from>
    <xdr:to>
      <xdr:col>21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68036</xdr:colOff>
      <xdr:row>3</xdr:row>
      <xdr:rowOff>95250</xdr:rowOff>
    </xdr:from>
    <xdr:to>
      <xdr:col>14</xdr:col>
      <xdr:colOff>511629</xdr:colOff>
      <xdr:row>23</xdr:row>
      <xdr:rowOff>28570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20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127000</xdr:colOff>
      <xdr:row>3</xdr:row>
      <xdr:rowOff>111125</xdr:rowOff>
    </xdr:from>
    <xdr:to>
      <xdr:col>15</xdr:col>
      <xdr:colOff>219075</xdr:colOff>
      <xdr:row>27</xdr:row>
      <xdr:rowOff>44445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0</xdr:colOff>
      <xdr:row>3</xdr:row>
      <xdr:rowOff>0</xdr:rowOff>
    </xdr:from>
    <xdr:to>
      <xdr:col>20</xdr:col>
      <xdr:colOff>112776</xdr:colOff>
      <xdr:row>12</xdr:row>
      <xdr:rowOff>115443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108857</xdr:colOff>
      <xdr:row>3</xdr:row>
      <xdr:rowOff>122465</xdr:rowOff>
    </xdr:from>
    <xdr:to>
      <xdr:col>17</xdr:col>
      <xdr:colOff>21771</xdr:colOff>
      <xdr:row>26</xdr:row>
      <xdr:rowOff>110213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0</xdr:colOff>
      <xdr:row>3</xdr:row>
      <xdr:rowOff>0</xdr:rowOff>
    </xdr:from>
    <xdr:to>
      <xdr:col>22</xdr:col>
      <xdr:colOff>112776</xdr:colOff>
      <xdr:row>12</xdr:row>
      <xdr:rowOff>115443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81643</xdr:colOff>
      <xdr:row>3</xdr:row>
      <xdr:rowOff>108857</xdr:rowOff>
    </xdr:from>
    <xdr:to>
      <xdr:col>16</xdr:col>
      <xdr:colOff>144236</xdr:colOff>
      <xdr:row>23</xdr:row>
      <xdr:rowOff>42177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</xdr:row>
      <xdr:rowOff>0</xdr:rowOff>
    </xdr:from>
    <xdr:to>
      <xdr:col>21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122465</xdr:colOff>
      <xdr:row>3</xdr:row>
      <xdr:rowOff>108857</xdr:rowOff>
    </xdr:from>
    <xdr:to>
      <xdr:col>15</xdr:col>
      <xdr:colOff>593272</xdr:colOff>
      <xdr:row>23</xdr:row>
      <xdr:rowOff>42177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</xdr:row>
      <xdr:rowOff>0</xdr:rowOff>
    </xdr:from>
    <xdr:to>
      <xdr:col>21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176893</xdr:colOff>
      <xdr:row>3</xdr:row>
      <xdr:rowOff>81643</xdr:rowOff>
    </xdr:from>
    <xdr:to>
      <xdr:col>14</xdr:col>
      <xdr:colOff>51708</xdr:colOff>
      <xdr:row>23</xdr:row>
      <xdr:rowOff>14963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66675</xdr:colOff>
      <xdr:row>3</xdr:row>
      <xdr:rowOff>66675</xdr:rowOff>
    </xdr:from>
    <xdr:to>
      <xdr:col>19</xdr:col>
      <xdr:colOff>179451</xdr:colOff>
      <xdr:row>11</xdr:row>
      <xdr:rowOff>115443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3</xdr:row>
      <xdr:rowOff>66680</xdr:rowOff>
    </xdr:from>
    <xdr:to>
      <xdr:col>10</xdr:col>
      <xdr:colOff>428625</xdr:colOff>
      <xdr:row>23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914400</xdr:colOff>
      <xdr:row>3</xdr:row>
      <xdr:rowOff>104775</xdr:rowOff>
    </xdr:from>
    <xdr:to>
      <xdr:col>14</xdr:col>
      <xdr:colOff>217551</xdr:colOff>
      <xdr:row>11</xdr:row>
      <xdr:rowOff>153543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184150</xdr:colOff>
      <xdr:row>3</xdr:row>
      <xdr:rowOff>88900</xdr:rowOff>
    </xdr:from>
    <xdr:to>
      <xdr:col>13</xdr:col>
      <xdr:colOff>18143</xdr:colOff>
      <xdr:row>23</xdr:row>
      <xdr:rowOff>22220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47625</xdr:colOff>
      <xdr:row>3</xdr:row>
      <xdr:rowOff>76200</xdr:rowOff>
    </xdr:from>
    <xdr:to>
      <xdr:col>18</xdr:col>
      <xdr:colOff>160401</xdr:colOff>
      <xdr:row>11</xdr:row>
      <xdr:rowOff>124968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95250</xdr:rowOff>
    </xdr:from>
    <xdr:to>
      <xdr:col>13</xdr:col>
      <xdr:colOff>526597</xdr:colOff>
      <xdr:row>23</xdr:row>
      <xdr:rowOff>28570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19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3</xdr:row>
      <xdr:rowOff>76200</xdr:rowOff>
    </xdr:from>
    <xdr:to>
      <xdr:col>14</xdr:col>
      <xdr:colOff>185057</xdr:colOff>
      <xdr:row>23</xdr:row>
      <xdr:rowOff>9520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19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3</xdr:row>
      <xdr:rowOff>76200</xdr:rowOff>
    </xdr:from>
    <xdr:to>
      <xdr:col>14</xdr:col>
      <xdr:colOff>34018</xdr:colOff>
      <xdr:row>23</xdr:row>
      <xdr:rowOff>9520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19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3</xdr:row>
      <xdr:rowOff>85725</xdr:rowOff>
    </xdr:from>
    <xdr:to>
      <xdr:col>14</xdr:col>
      <xdr:colOff>143782</xdr:colOff>
      <xdr:row>23</xdr:row>
      <xdr:rowOff>19045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19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185057</xdr:colOff>
      <xdr:row>3</xdr:row>
      <xdr:rowOff>88447</xdr:rowOff>
    </xdr:from>
    <xdr:to>
      <xdr:col>13</xdr:col>
      <xdr:colOff>451757</xdr:colOff>
      <xdr:row>23</xdr:row>
      <xdr:rowOff>21767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19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118382</xdr:colOff>
      <xdr:row>3</xdr:row>
      <xdr:rowOff>78922</xdr:rowOff>
    </xdr:from>
    <xdr:to>
      <xdr:col>10</xdr:col>
      <xdr:colOff>31296</xdr:colOff>
      <xdr:row>23</xdr:row>
      <xdr:rowOff>12242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3</xdr:row>
      <xdr:rowOff>0</xdr:rowOff>
    </xdr:from>
    <xdr:to>
      <xdr:col>15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175532</xdr:colOff>
      <xdr:row>3</xdr:row>
      <xdr:rowOff>88446</xdr:rowOff>
    </xdr:from>
    <xdr:to>
      <xdr:col>11</xdr:col>
      <xdr:colOff>510268</xdr:colOff>
      <xdr:row>23</xdr:row>
      <xdr:rowOff>21766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3</xdr:row>
      <xdr:rowOff>0</xdr:rowOff>
    </xdr:from>
    <xdr:to>
      <xdr:col>17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210911</xdr:colOff>
      <xdr:row>3</xdr:row>
      <xdr:rowOff>89807</xdr:rowOff>
    </xdr:from>
    <xdr:to>
      <xdr:col>14</xdr:col>
      <xdr:colOff>72119</xdr:colOff>
      <xdr:row>23</xdr:row>
      <xdr:rowOff>23127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19</xdr:col>
      <xdr:colOff>112776</xdr:colOff>
      <xdr:row>11</xdr:row>
      <xdr:rowOff>48768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3</xdr:row>
      <xdr:rowOff>66675</xdr:rowOff>
    </xdr:from>
    <xdr:to>
      <xdr:col>9</xdr:col>
      <xdr:colOff>361950</xdr:colOff>
      <xdr:row>27</xdr:row>
      <xdr:rowOff>180975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638175"/>
          <a:ext cx="5162550" cy="468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tabSelected="1" zoomScale="80" zoomScaleNormal="80" workbookViewId="0">
      <pane xSplit="3" ySplit="4" topLeftCell="D5" activePane="bottomRight" state="frozen"/>
      <selection activeCell="F9" sqref="F9"/>
      <selection pane="topRight" activeCell="F9" sqref="F9"/>
      <selection pane="bottomLeft" activeCell="F9" sqref="F9"/>
      <selection pane="bottomRight" activeCell="C1" sqref="C1"/>
    </sheetView>
  </sheetViews>
  <sheetFormatPr defaultRowHeight="15" x14ac:dyDescent="0.25"/>
  <cols>
    <col min="1" max="1" width="5" style="26" customWidth="1"/>
    <col min="2" max="2" width="12" style="26" customWidth="1"/>
    <col min="3" max="3" width="30.140625" style="26" customWidth="1"/>
    <col min="4" max="10" width="12.28515625" style="26" customWidth="1"/>
    <col min="11" max="11" width="2.7109375" style="26" customWidth="1"/>
    <col min="12" max="16" width="12.28515625" style="26" customWidth="1"/>
    <col min="17" max="17" width="10.85546875" style="26" customWidth="1"/>
    <col min="18" max="18" width="11.28515625" style="26" customWidth="1"/>
    <col min="19" max="16384" width="9.140625" style="26"/>
  </cols>
  <sheetData>
    <row r="1" spans="1:18" x14ac:dyDescent="0.25">
      <c r="A1" s="41" t="s">
        <v>1</v>
      </c>
      <c r="C1" s="102"/>
    </row>
    <row r="2" spans="1:18" ht="15.75" thickBot="1" x14ac:dyDescent="0.3"/>
    <row r="3" spans="1:18" x14ac:dyDescent="0.25">
      <c r="B3" s="123" t="s">
        <v>0</v>
      </c>
      <c r="C3" s="119" t="s">
        <v>31</v>
      </c>
      <c r="D3" s="121" t="s">
        <v>16</v>
      </c>
      <c r="E3" s="121"/>
      <c r="F3" s="121"/>
      <c r="G3" s="121"/>
      <c r="H3" s="121"/>
      <c r="I3" s="121"/>
      <c r="J3" s="121"/>
      <c r="K3" s="80"/>
      <c r="L3" s="121" t="s">
        <v>8</v>
      </c>
      <c r="M3" s="121"/>
      <c r="N3" s="121"/>
      <c r="O3" s="121"/>
      <c r="P3" s="121"/>
      <c r="Q3" s="121"/>
      <c r="R3" s="122"/>
    </row>
    <row r="4" spans="1:18" ht="30.75" thickBot="1" x14ac:dyDescent="0.3">
      <c r="B4" s="124"/>
      <c r="C4" s="120"/>
      <c r="D4" s="81" t="s">
        <v>35</v>
      </c>
      <c r="E4" s="81">
        <v>2011</v>
      </c>
      <c r="F4" s="81">
        <v>2010</v>
      </c>
      <c r="G4" s="81">
        <v>2009</v>
      </c>
      <c r="H4" s="81">
        <v>2008</v>
      </c>
      <c r="I4" s="81">
        <v>2007</v>
      </c>
      <c r="J4" s="81" t="s">
        <v>5</v>
      </c>
      <c r="K4" s="81"/>
      <c r="L4" s="81" t="s">
        <v>35</v>
      </c>
      <c r="M4" s="81">
        <v>2011</v>
      </c>
      <c r="N4" s="81">
        <v>2010</v>
      </c>
      <c r="O4" s="81">
        <v>2009</v>
      </c>
      <c r="P4" s="81">
        <v>2008</v>
      </c>
      <c r="Q4" s="81">
        <v>2007</v>
      </c>
      <c r="R4" s="82" t="s">
        <v>5</v>
      </c>
    </row>
    <row r="5" spans="1:18" ht="25.5" x14ac:dyDescent="0.25">
      <c r="B5" s="89">
        <v>30490</v>
      </c>
      <c r="C5" s="44" t="s">
        <v>33</v>
      </c>
      <c r="D5" s="37">
        <f>SUM('30490'!$D$4:$D$10)</f>
        <v>532.09999999999991</v>
      </c>
      <c r="E5" s="37">
        <f>SUM('30490'!$D$11:$D$22)</f>
        <v>1058.3999999999999</v>
      </c>
      <c r="F5" s="37">
        <f>SUM('30490'!$D$23:$D$34)</f>
        <v>909.7</v>
      </c>
      <c r="G5" s="37">
        <f>SUM('30490'!$D$35:$D$46)</f>
        <v>1264.5</v>
      </c>
      <c r="H5" s="37">
        <f>SUM('30490'!$D$47:$D$58)</f>
        <v>1059.7</v>
      </c>
      <c r="I5" s="37">
        <f>SUM('30490'!$D$59:$D$70)</f>
        <v>922</v>
      </c>
      <c r="J5" s="37">
        <f t="shared" ref="J5:J23" si="0">SUM(D5:I5)</f>
        <v>5746.4</v>
      </c>
      <c r="K5" s="83"/>
      <c r="L5" s="38">
        <f>SUM('30490'!$E$4:$E$10)</f>
        <v>1223.29</v>
      </c>
      <c r="M5" s="38">
        <f>SUM('30490'!$E$11:$E$22)</f>
        <v>2195.6000000000004</v>
      </c>
      <c r="N5" s="38">
        <f>SUM('30490'!$E$23:$E$34)</f>
        <v>1715.76</v>
      </c>
      <c r="O5" s="38">
        <f>SUM('30490'!$E$35:$E$46)</f>
        <v>2618.4300000000003</v>
      </c>
      <c r="P5" s="38">
        <f>SUM('30490'!$E$47:$E$58)</f>
        <v>2298.1799999999998</v>
      </c>
      <c r="Q5" s="38">
        <f>SUM('30490'!$E$59:$E$70)</f>
        <v>1544.08</v>
      </c>
      <c r="R5" s="47">
        <f t="shared" ref="R5:R23" si="1">SUM(L5:Q5)</f>
        <v>11595.34</v>
      </c>
    </row>
    <row r="6" spans="1:18" x14ac:dyDescent="0.25">
      <c r="B6" s="89">
        <v>30491</v>
      </c>
      <c r="C6" s="44" t="s">
        <v>18</v>
      </c>
      <c r="D6" s="37">
        <f>SUM('30491'!$D$4:$D$10)</f>
        <v>1382.3</v>
      </c>
      <c r="E6" s="37">
        <f>SUM('30491'!$D$11:$D$22)</f>
        <v>1383.8999999999999</v>
      </c>
      <c r="F6" s="37">
        <f>SUM('30491'!$D$23:$D$34)</f>
        <v>2047.9</v>
      </c>
      <c r="G6" s="37">
        <f>SUM('30491'!$D$35:$D$46)</f>
        <v>1704.8</v>
      </c>
      <c r="H6" s="37">
        <f>SUM('30491'!$D$47:$D$58)</f>
        <v>2496.5</v>
      </c>
      <c r="I6" s="37">
        <f>SUM('30491'!$D$59:$D$70)</f>
        <v>2412</v>
      </c>
      <c r="J6" s="37">
        <f t="shared" si="0"/>
        <v>11427.400000000001</v>
      </c>
      <c r="K6" s="83"/>
      <c r="L6" s="37">
        <f>SUM('30491'!$E$4:$E$10)</f>
        <v>3177.9</v>
      </c>
      <c r="M6" s="37">
        <f>SUM('30491'!$E$11:$E$22)</f>
        <v>2867.03</v>
      </c>
      <c r="N6" s="37">
        <f>SUM('30491'!$E$23:$E$34)</f>
        <v>3862.7799999999997</v>
      </c>
      <c r="O6" s="37">
        <f>SUM('30491'!$E$35:$E$46)</f>
        <v>3297.45</v>
      </c>
      <c r="P6" s="37">
        <f>SUM('30491'!$E$47:$E$58)</f>
        <v>5488.92</v>
      </c>
      <c r="Q6" s="37">
        <f>SUM('30491'!$E$59:$E$70)</f>
        <v>4146.29</v>
      </c>
      <c r="R6" s="40">
        <f t="shared" si="1"/>
        <v>22840.370000000003</v>
      </c>
    </row>
    <row r="7" spans="1:18" x14ac:dyDescent="0.25">
      <c r="B7" s="89">
        <v>30492</v>
      </c>
      <c r="C7" s="44" t="s">
        <v>17</v>
      </c>
      <c r="D7" s="37">
        <f>SUM('30492'!$D$4:$D$10)</f>
        <v>2205.6000000000004</v>
      </c>
      <c r="E7" s="37">
        <f>SUM('30492'!$D$11:$D$22)</f>
        <v>3612.1000000000004</v>
      </c>
      <c r="F7" s="37">
        <f>SUM('30492'!$D$23:$D$34)</f>
        <v>9488.4</v>
      </c>
      <c r="G7" s="37">
        <f>SUM('30492'!$D$35:$D$46)</f>
        <v>4202.8</v>
      </c>
      <c r="H7" s="37">
        <f>SUM('30492'!$D$47:$D$58)</f>
        <v>2890.7999999999997</v>
      </c>
      <c r="I7" s="37">
        <f>SUM('30492'!$D$59:$D$70)</f>
        <v>3407</v>
      </c>
      <c r="J7" s="37">
        <f t="shared" si="0"/>
        <v>25806.7</v>
      </c>
      <c r="K7" s="83"/>
      <c r="L7" s="37">
        <f>SUM('30492'!$E$4:$E$10)</f>
        <v>5070.68</v>
      </c>
      <c r="M7" s="37">
        <f>SUM('30492'!$E$11:$E$22)</f>
        <v>7427.47</v>
      </c>
      <c r="N7" s="37">
        <f>SUM('30492'!$E$23:$E$34)</f>
        <v>17163.960000000003</v>
      </c>
      <c r="O7" s="37">
        <f>SUM('30492'!$E$35:$E$46)</f>
        <v>7188.95</v>
      </c>
      <c r="P7" s="37">
        <f>SUM('30492'!$E$47:$E$58)</f>
        <v>7224.1200000000008</v>
      </c>
      <c r="Q7" s="37">
        <f>SUM('30492'!$E$59:$E$70)</f>
        <v>5776.59</v>
      </c>
      <c r="R7" s="40">
        <f t="shared" si="1"/>
        <v>49851.770000000004</v>
      </c>
    </row>
    <row r="8" spans="1:18" ht="25.5" x14ac:dyDescent="0.25">
      <c r="B8" s="89">
        <v>30493</v>
      </c>
      <c r="C8" s="44" t="s">
        <v>32</v>
      </c>
      <c r="D8" s="37">
        <f>SUM('30493'!$D$4:$D$10)</f>
        <v>458.7</v>
      </c>
      <c r="E8" s="37">
        <f>SUM('30493'!$D$11:$D$22)</f>
        <v>906.7</v>
      </c>
      <c r="F8" s="37">
        <f>SUM('30493'!$D$23:$D$34)</f>
        <v>862.5</v>
      </c>
      <c r="G8" s="37">
        <f>SUM('30493'!$D$35:$D$46)</f>
        <v>567.4</v>
      </c>
      <c r="H8" s="37">
        <f>SUM('30493'!$D$47:$D$58)</f>
        <v>780.8</v>
      </c>
      <c r="I8" s="37">
        <f>SUM('30493'!$D$59:$D$70)</f>
        <v>927</v>
      </c>
      <c r="J8" s="37">
        <f t="shared" si="0"/>
        <v>4503.1000000000004</v>
      </c>
      <c r="K8" s="83"/>
      <c r="L8" s="37">
        <f>SUM('30493'!$E$4:$E$10)</f>
        <v>1054.55</v>
      </c>
      <c r="M8" s="37">
        <f>SUM('30493'!$E$11:$E$22)</f>
        <v>1896.59</v>
      </c>
      <c r="N8" s="37">
        <f>SUM('30493'!$E$23:$E$34)</f>
        <v>1606</v>
      </c>
      <c r="O8" s="37">
        <f>SUM('30493'!$E$35:$E$46)</f>
        <v>1252.0900000000001</v>
      </c>
      <c r="P8" s="37">
        <f>SUM('30493'!$E$47:$E$58)</f>
        <v>1653.7199999999998</v>
      </c>
      <c r="Q8" s="37">
        <f>SUM('30493'!$E$59:$E$70)</f>
        <v>1553.74</v>
      </c>
      <c r="R8" s="40">
        <f t="shared" si="1"/>
        <v>9016.6899999999987</v>
      </c>
    </row>
    <row r="9" spans="1:18" x14ac:dyDescent="0.25">
      <c r="B9" s="89">
        <v>30494</v>
      </c>
      <c r="C9" s="44" t="s">
        <v>19</v>
      </c>
      <c r="D9" s="37">
        <f>SUM('30494'!$D$4:$D$10)</f>
        <v>2962.5</v>
      </c>
      <c r="E9" s="37">
        <f>SUM('30494'!$D$11:$D$22)</f>
        <v>2576.06</v>
      </c>
      <c r="F9" s="37">
        <f>SUM('30494'!$D$23:$D$34)</f>
        <v>2885.7999999999997</v>
      </c>
      <c r="G9" s="37">
        <f>SUM('30494'!$D$35:$D$46)</f>
        <v>3267.2000000000003</v>
      </c>
      <c r="H9" s="37">
        <f>SUM('30494'!$D$47:$D$58)</f>
        <v>3094</v>
      </c>
      <c r="I9" s="37">
        <f>SUM('30494'!$D$59:$D$70)</f>
        <v>2782</v>
      </c>
      <c r="J9" s="37">
        <f t="shared" si="0"/>
        <v>17567.559999999998</v>
      </c>
      <c r="K9" s="83"/>
      <c r="L9" s="37">
        <f>SUM('30494'!$E$4:$E$10)</f>
        <v>5895.21</v>
      </c>
      <c r="M9" s="37">
        <f>SUM('30494'!$E$11:$E$22)</f>
        <v>5254.18</v>
      </c>
      <c r="N9" s="37">
        <f>SUM('30494'!$E$23:$E$34)</f>
        <v>5390.3200000000006</v>
      </c>
      <c r="O9" s="37">
        <f>SUM('30494'!$E$35:$E$46)</f>
        <v>6912.3300000000008</v>
      </c>
      <c r="P9" s="37">
        <f>SUM('30494'!$E$47:$E$58)</f>
        <v>6802.12</v>
      </c>
      <c r="Q9" s="37">
        <f>SUM('30494'!$E$59:$E$70)</f>
        <v>4693.329999999999</v>
      </c>
      <c r="R9" s="40">
        <f t="shared" si="1"/>
        <v>34947.49</v>
      </c>
    </row>
    <row r="10" spans="1:18" x14ac:dyDescent="0.25">
      <c r="B10" s="89">
        <v>30495</v>
      </c>
      <c r="C10" s="44" t="s">
        <v>20</v>
      </c>
      <c r="D10" s="37">
        <f>SUM('30495'!$D$4:$D$10)</f>
        <v>132.19999999999999</v>
      </c>
      <c r="E10" s="37">
        <f>SUM('30495'!$D$11:$D$22)</f>
        <v>156.6</v>
      </c>
      <c r="F10" s="37">
        <f>SUM('30495'!$D$23:$D$34)</f>
        <v>190.5</v>
      </c>
      <c r="G10" s="37">
        <f>SUM('30495'!$D$35:$D$46)</f>
        <v>229.3</v>
      </c>
      <c r="H10" s="37">
        <f>SUM('30495'!$D$47:$D$58)</f>
        <v>267.2</v>
      </c>
      <c r="I10" s="37">
        <f>SUM('30495'!$D$59:$D$70)</f>
        <v>180</v>
      </c>
      <c r="J10" s="37">
        <f t="shared" si="0"/>
        <v>1155.8</v>
      </c>
      <c r="K10" s="83"/>
      <c r="L10" s="37">
        <f>SUM('30495'!$E$4:$E$10)</f>
        <v>303.93</v>
      </c>
      <c r="M10" s="37">
        <f>SUM('30495'!$E$11:$E$22)</f>
        <v>313.04000000000002</v>
      </c>
      <c r="N10" s="37">
        <f>SUM('30495'!$E$23:$E$34)</f>
        <v>380.81</v>
      </c>
      <c r="O10" s="37">
        <f>SUM('30495'!$E$35:$E$46)</f>
        <v>400.12</v>
      </c>
      <c r="P10" s="37">
        <f>SUM('30495'!$E$47:$E$58)</f>
        <v>667.73</v>
      </c>
      <c r="Q10" s="37">
        <f>SUM('30495'!$E$59:$E$70)</f>
        <v>314.82</v>
      </c>
      <c r="R10" s="40">
        <f t="shared" si="1"/>
        <v>2380.4500000000003</v>
      </c>
    </row>
    <row r="11" spans="1:18" x14ac:dyDescent="0.25">
      <c r="B11" s="89">
        <v>30496</v>
      </c>
      <c r="C11" s="44" t="s">
        <v>21</v>
      </c>
      <c r="D11" s="37">
        <f>SUM('30496'!$D$4:$D$10)</f>
        <v>280.2</v>
      </c>
      <c r="E11" s="37">
        <f>SUM('30496'!$D$11:$D$22)</f>
        <v>552.20000000000005</v>
      </c>
      <c r="F11" s="37">
        <f>SUM('30496'!$D$23:$D$34)</f>
        <v>468.9</v>
      </c>
      <c r="G11" s="37">
        <f>SUM('30496'!$D$35:$D$46)</f>
        <v>675.80000000000007</v>
      </c>
      <c r="H11" s="37">
        <f>SUM('30496'!$D$47:$D$58)</f>
        <v>516.6</v>
      </c>
      <c r="I11" s="37">
        <f>SUM('30496'!$D$59:$D$70)</f>
        <v>583</v>
      </c>
      <c r="J11" s="37">
        <f t="shared" si="0"/>
        <v>3076.7000000000003</v>
      </c>
      <c r="K11" s="83"/>
      <c r="L11" s="37">
        <f>SUM('30496'!$E$4:$E$10)</f>
        <v>644.18000000000006</v>
      </c>
      <c r="M11" s="37">
        <f>SUM('30496'!$E$11:$E$22)</f>
        <v>1165.47</v>
      </c>
      <c r="N11" s="37">
        <f>SUM('30496'!$E$23:$E$34)</f>
        <v>937.32999999999993</v>
      </c>
      <c r="O11" s="37">
        <f>SUM('30496'!$E$35:$E$46)</f>
        <v>1166.52</v>
      </c>
      <c r="P11" s="37">
        <f>SUM('30496'!$E$47:$E$58)</f>
        <v>1290.98</v>
      </c>
      <c r="Q11" s="37">
        <f>SUM('30496'!$E$59:$E$70)</f>
        <v>991.7600000000001</v>
      </c>
      <c r="R11" s="40">
        <f t="shared" si="1"/>
        <v>6196.24</v>
      </c>
    </row>
    <row r="12" spans="1:18" x14ac:dyDescent="0.25">
      <c r="B12" s="89">
        <v>30497</v>
      </c>
      <c r="C12" s="44" t="s">
        <v>22</v>
      </c>
      <c r="D12" s="37">
        <f>SUM('30497'!$D$4:$D$10)</f>
        <v>223.60000000000002</v>
      </c>
      <c r="E12" s="37">
        <f>SUM('30497'!$D$11:$D$22)</f>
        <v>472.4</v>
      </c>
      <c r="F12" s="37">
        <f>SUM('30497'!$D$23:$D$34)</f>
        <v>421.70000000000005</v>
      </c>
      <c r="G12" s="37">
        <f>SUM('30497'!$D$35:$D$46)</f>
        <v>519.40000000000009</v>
      </c>
      <c r="H12" s="37">
        <f>SUM('30497'!$D$47:$D$58)</f>
        <v>558.4</v>
      </c>
      <c r="I12" s="37">
        <f>SUM('30497'!$D$59:$D$70)</f>
        <v>491</v>
      </c>
      <c r="J12" s="37">
        <f t="shared" si="0"/>
        <v>2686.5</v>
      </c>
      <c r="K12" s="83"/>
      <c r="L12" s="37">
        <f>SUM('30497'!$E$4:$E$10)</f>
        <v>514.05999999999995</v>
      </c>
      <c r="M12" s="37">
        <f>SUM('30497'!$E$11:$E$22)</f>
        <v>981.26</v>
      </c>
      <c r="N12" s="37">
        <f>SUM('30497'!$E$23:$E$34)</f>
        <v>842.98000000000013</v>
      </c>
      <c r="O12" s="37">
        <f>SUM('30497'!$E$35:$E$46)</f>
        <v>896.51</v>
      </c>
      <c r="P12" s="37">
        <f>SUM('30497'!$E$47:$E$58)</f>
        <v>1358.9</v>
      </c>
      <c r="Q12" s="37">
        <f>SUM('30497'!$E$59:$E$70)</f>
        <v>841.27</v>
      </c>
      <c r="R12" s="40">
        <f t="shared" si="1"/>
        <v>5434.9800000000014</v>
      </c>
    </row>
    <row r="13" spans="1:18" x14ac:dyDescent="0.25">
      <c r="B13" s="89">
        <v>30498</v>
      </c>
      <c r="C13" s="44" t="s">
        <v>23</v>
      </c>
      <c r="D13" s="37">
        <f>SUM('30498'!$D$4:$D$10)</f>
        <v>1310.2</v>
      </c>
      <c r="E13" s="37">
        <f>SUM('30498'!$D$11:$D$22)</f>
        <v>1317.7</v>
      </c>
      <c r="F13" s="37">
        <f>SUM('30498'!$D$23:$D$34)</f>
        <v>1441.2999999999997</v>
      </c>
      <c r="G13" s="37">
        <f>SUM('30498'!$D$35:$D$46)</f>
        <v>2241.6999999999998</v>
      </c>
      <c r="H13" s="37">
        <f>SUM('30498'!$D$47:$D$58)</f>
        <v>1878.1</v>
      </c>
      <c r="I13" s="37">
        <f>SUM('30498'!$D$59:$D$70)</f>
        <v>1463</v>
      </c>
      <c r="J13" s="37">
        <f t="shared" si="0"/>
        <v>9652</v>
      </c>
      <c r="K13" s="83"/>
      <c r="L13" s="37">
        <f>SUM('30498'!$E$4:$E$10)</f>
        <v>3012.15</v>
      </c>
      <c r="M13" s="37">
        <f>SUM('30498'!$E$11:$E$22)</f>
        <v>2727.6200000000003</v>
      </c>
      <c r="N13" s="37">
        <f>SUM('30498'!$E$23:$E$34)</f>
        <v>2792.4799999999996</v>
      </c>
      <c r="O13" s="37">
        <f>SUM('30498'!$E$35:$E$46)</f>
        <v>4475.57</v>
      </c>
      <c r="P13" s="37">
        <f>SUM('30498'!$E$47:$E$58)</f>
        <v>4262.37</v>
      </c>
      <c r="Q13" s="37">
        <f>SUM('30498'!$E$59:$E$70)</f>
        <v>2453.84</v>
      </c>
      <c r="R13" s="40">
        <f t="shared" si="1"/>
        <v>19724.03</v>
      </c>
    </row>
    <row r="14" spans="1:18" x14ac:dyDescent="0.25">
      <c r="B14" s="90">
        <v>30500</v>
      </c>
      <c r="C14" s="42" t="s">
        <v>34</v>
      </c>
      <c r="D14" s="43">
        <f>SUM('30500'!$D$4:$D$10)</f>
        <v>1740.3000000000002</v>
      </c>
      <c r="E14" s="43">
        <f>SUM('30500'!$D$11:$D$22)</f>
        <v>2307.4</v>
      </c>
      <c r="F14" s="43">
        <f>SUM('30500'!$D$23:$D$34)</f>
        <v>2125.4</v>
      </c>
      <c r="G14" s="43">
        <f>SUM('30500'!$D$35:$D$46)</f>
        <v>3353.8</v>
      </c>
      <c r="H14" s="43">
        <f>SUM('30500'!$D$47:$D$58)</f>
        <v>720.1</v>
      </c>
      <c r="I14" s="43">
        <f>SUM('30500'!$D$59:$D$70)</f>
        <v>0</v>
      </c>
      <c r="J14" s="43">
        <f>SUM(D14:I14)</f>
        <v>10247.000000000002</v>
      </c>
      <c r="K14" s="84"/>
      <c r="L14" s="37">
        <f>SUM('30500'!$E$8:$E$10)</f>
        <v>3038.55</v>
      </c>
      <c r="M14" s="37">
        <f>SUM('30500'!$E$11:$E$22)</f>
        <v>4689.21</v>
      </c>
      <c r="N14" s="37">
        <f>SUM('30500'!$E$23:$E$34)</f>
        <v>4016.93</v>
      </c>
      <c r="O14" s="37">
        <f>SUM('30500'!$E$35:$E$46)</f>
        <v>7053.4899999999989</v>
      </c>
      <c r="P14" s="37">
        <f>SUM('30500'!$E$47:$E$58)</f>
        <v>1799.52</v>
      </c>
      <c r="Q14" s="37">
        <f>SUM('30500'!$E$59:$E$70)</f>
        <v>0</v>
      </c>
      <c r="R14" s="40">
        <f>SUM(L14:Q14)</f>
        <v>20597.7</v>
      </c>
    </row>
    <row r="15" spans="1:18" x14ac:dyDescent="0.25">
      <c r="B15" s="89">
        <v>30505</v>
      </c>
      <c r="C15" s="70" t="s">
        <v>24</v>
      </c>
      <c r="D15" s="37">
        <f>SUM('30505'!$D$4:$D$10)</f>
        <v>628.6</v>
      </c>
      <c r="E15" s="37">
        <f>SUM('30505'!$D$11:$D$22)</f>
        <v>1178.4000000000001</v>
      </c>
      <c r="F15" s="37">
        <f>SUM('30505'!$D$23:$D$34)</f>
        <v>657.1</v>
      </c>
      <c r="G15" s="37">
        <f>SUM('30505'!$D$35:$D$46)</f>
        <v>1291.0999999999999</v>
      </c>
      <c r="H15" s="37">
        <f>SUM('30505'!$D$47:$D$58)</f>
        <v>1396.4</v>
      </c>
      <c r="I15" s="37">
        <f>SUM('30505'!$D$59:$D$70)</f>
        <v>0</v>
      </c>
      <c r="J15" s="37">
        <f t="shared" si="0"/>
        <v>5151.6000000000004</v>
      </c>
      <c r="K15" s="83"/>
      <c r="L15" s="37">
        <f>SUM('30505'!$E$4:$E$10)</f>
        <v>1445.15</v>
      </c>
      <c r="M15" s="37">
        <f>SUM('30505'!$E$11:$E$22)</f>
        <v>2355.63</v>
      </c>
      <c r="N15" s="37">
        <f>SUM('30505'!$E$23:$E$34)</f>
        <v>1182.1199999999999</v>
      </c>
      <c r="O15" s="37">
        <f>SUM('30505'!$E$35:$E$46)</f>
        <v>2842.08</v>
      </c>
      <c r="P15" s="37">
        <f>SUM('30505'!$E$47:$E$58)</f>
        <v>3090.6</v>
      </c>
      <c r="Q15" s="37">
        <f>SUM('30505'!$E$59:$E$70)</f>
        <v>0</v>
      </c>
      <c r="R15" s="40">
        <f t="shared" si="1"/>
        <v>10915.58</v>
      </c>
    </row>
    <row r="16" spans="1:18" x14ac:dyDescent="0.25">
      <c r="B16" s="89">
        <v>30506</v>
      </c>
      <c r="C16" s="71" t="s">
        <v>25</v>
      </c>
      <c r="D16" s="37">
        <f>SUM('30506'!$D$4:$D$10)</f>
        <v>0</v>
      </c>
      <c r="E16" s="37">
        <f>SUM('30506'!$D$11:$D$22)</f>
        <v>0</v>
      </c>
      <c r="F16" s="37">
        <f>SUM('30506'!$D$23:$D$34)</f>
        <v>324.2</v>
      </c>
      <c r="G16" s="37">
        <f>SUM('30506'!$D$35:$D$46)</f>
        <v>370.9</v>
      </c>
      <c r="H16" s="37">
        <f>SUM('30506'!$D$47:$D$58)</f>
        <v>0</v>
      </c>
      <c r="I16" s="37">
        <f>SUM('30506'!$D$59:$D$70)</f>
        <v>0</v>
      </c>
      <c r="J16" s="37">
        <f t="shared" si="0"/>
        <v>695.09999999999991</v>
      </c>
      <c r="K16" s="83"/>
      <c r="L16" s="37">
        <f>SUM('30506'!$E$4:$E$10)</f>
        <v>0</v>
      </c>
      <c r="M16" s="37">
        <f>SUM('30506'!$E$11:$E$22)</f>
        <v>0</v>
      </c>
      <c r="N16" s="37">
        <f>SUM('30506'!$E$23:$E$34)</f>
        <v>583.24</v>
      </c>
      <c r="O16" s="37">
        <f>SUM('30506'!$E$35:$E$46)</f>
        <v>667.25</v>
      </c>
      <c r="P16" s="37">
        <f>SUM('30506'!$E$47:$E$58)</f>
        <v>0</v>
      </c>
      <c r="Q16" s="37">
        <f>SUM('30506'!$E$59:$E$70)</f>
        <v>0</v>
      </c>
      <c r="R16" s="40">
        <f t="shared" si="1"/>
        <v>1250.49</v>
      </c>
    </row>
    <row r="17" spans="2:18" x14ac:dyDescent="0.25">
      <c r="B17" s="89">
        <v>30507</v>
      </c>
      <c r="C17" s="9" t="s">
        <v>26</v>
      </c>
      <c r="D17" s="37">
        <f>SUM('30507'!$D$4:$D$10)</f>
        <v>3288.6</v>
      </c>
      <c r="E17" s="37">
        <f>SUM('30507'!$D$11:$D$22)</f>
        <v>2780.2999999999997</v>
      </c>
      <c r="F17" s="37">
        <f>SUM('30507'!$D$23:$D$34)</f>
        <v>2814.1000000000004</v>
      </c>
      <c r="G17" s="37">
        <f>SUM('30507'!$D$35:$D$46)</f>
        <v>4580</v>
      </c>
      <c r="H17" s="37">
        <f>SUM('30507'!$D$47:$D$58)</f>
        <v>3896.3</v>
      </c>
      <c r="I17" s="37">
        <f>SUM('30507'!$D$59:$D$70)</f>
        <v>2737</v>
      </c>
      <c r="J17" s="37">
        <f t="shared" si="0"/>
        <v>20096.3</v>
      </c>
      <c r="K17" s="83"/>
      <c r="L17" s="37">
        <f>SUM('30507'!$E$4:$E$10)</f>
        <v>7560.49</v>
      </c>
      <c r="M17" s="37">
        <f>SUM('30507'!$E$11:$E$22)</f>
        <v>5685.6100000000006</v>
      </c>
      <c r="N17" s="37">
        <f>SUM('30507'!$E$23:$E$34)</f>
        <v>5318.88</v>
      </c>
      <c r="O17" s="37">
        <f>SUM('30507'!$E$35:$E$46)</f>
        <v>9545.9600000000009</v>
      </c>
      <c r="P17" s="37">
        <f>SUM('30507'!$E$47:$E$58)</f>
        <v>8715.3599999999988</v>
      </c>
      <c r="Q17" s="37">
        <f>SUM('30507'!$E$59:$E$70)</f>
        <v>4729.62</v>
      </c>
      <c r="R17" s="40">
        <f t="shared" si="1"/>
        <v>41555.920000000006</v>
      </c>
    </row>
    <row r="18" spans="2:18" x14ac:dyDescent="0.25">
      <c r="B18" s="89">
        <v>30508</v>
      </c>
      <c r="C18" s="71" t="s">
        <v>25</v>
      </c>
      <c r="D18" s="37">
        <f>SUM('30508'!$D$4:$D$10)</f>
        <v>0</v>
      </c>
      <c r="E18" s="37">
        <f>SUM('30508'!$D$11:$D$22)</f>
        <v>457.5</v>
      </c>
      <c r="F18" s="37">
        <f>SUM('30508'!$D$23:$D$34)</f>
        <v>0</v>
      </c>
      <c r="G18" s="37">
        <f>SUM('30508'!$D$35:$D$46)</f>
        <v>0</v>
      </c>
      <c r="H18" s="37">
        <f>SUM('30508'!$D$47:$D$58)</f>
        <v>0</v>
      </c>
      <c r="I18" s="37">
        <f>SUM('30508'!$D$59:$D$70)</f>
        <v>303</v>
      </c>
      <c r="J18" s="37">
        <f t="shared" si="0"/>
        <v>760.5</v>
      </c>
      <c r="K18" s="83"/>
      <c r="L18" s="37">
        <f>SUM('30508'!$E$4:$E$10)</f>
        <v>0</v>
      </c>
      <c r="M18" s="37">
        <f>SUM('30508'!$E$11:$E$22)</f>
        <v>914.55</v>
      </c>
      <c r="N18" s="37">
        <f>SUM('30508'!$E$23:$E$34)</f>
        <v>0</v>
      </c>
      <c r="O18" s="37">
        <f>SUM('30508'!$E$35:$E$46)</f>
        <v>0</v>
      </c>
      <c r="P18" s="37">
        <f>SUM('30508'!$E$47:$E$58)</f>
        <v>0</v>
      </c>
      <c r="Q18" s="37">
        <f>SUM('30508'!$E$59:$E$70)</f>
        <v>499.65</v>
      </c>
      <c r="R18" s="40">
        <f t="shared" si="1"/>
        <v>1414.1999999999998</v>
      </c>
    </row>
    <row r="19" spans="2:18" x14ac:dyDescent="0.25">
      <c r="B19" s="89">
        <v>30509</v>
      </c>
      <c r="C19" s="71" t="s">
        <v>25</v>
      </c>
      <c r="D19" s="37">
        <f>SUM('30509'!$D$4:$D$10)</f>
        <v>137.5</v>
      </c>
      <c r="E19" s="37">
        <f>SUM('30509'!$D$11:$D$22)</f>
        <v>570.4</v>
      </c>
      <c r="F19" s="37">
        <f>SUM('30509'!$D$23:$D$34)</f>
        <v>445.5</v>
      </c>
      <c r="G19" s="37">
        <f>SUM('30509'!$D$35:$D$46)</f>
        <v>609.79999999999995</v>
      </c>
      <c r="H19" s="37">
        <f>SUM('30509'!$D$47:$D$58)</f>
        <v>510.40000000000003</v>
      </c>
      <c r="I19" s="37">
        <f>SUM('30509'!$D$59:$D$70)</f>
        <v>551</v>
      </c>
      <c r="J19" s="37">
        <f t="shared" si="0"/>
        <v>2824.6</v>
      </c>
      <c r="K19" s="83"/>
      <c r="L19" s="37">
        <f>SUM('30509'!$E$4:$E$10)</f>
        <v>316.11</v>
      </c>
      <c r="M19" s="37">
        <f>SUM('30509'!$E$11:$E$22)</f>
        <v>1179.95</v>
      </c>
      <c r="N19" s="37">
        <f>SUM('30509'!$E$23:$E$34)</f>
        <v>890.55000000000007</v>
      </c>
      <c r="O19" s="37">
        <f>SUM('30509'!$E$35:$E$46)</f>
        <v>1053.6600000000001</v>
      </c>
      <c r="P19" s="37">
        <f>SUM('30509'!$E$47:$E$58)</f>
        <v>1275.49</v>
      </c>
      <c r="Q19" s="37">
        <f>SUM('30509'!$E$59:$E$70)</f>
        <v>940.21</v>
      </c>
      <c r="R19" s="40">
        <f t="shared" si="1"/>
        <v>5655.97</v>
      </c>
    </row>
    <row r="20" spans="2:18" ht="25.5" x14ac:dyDescent="0.25">
      <c r="B20" s="89">
        <v>30510</v>
      </c>
      <c r="C20" s="9" t="s">
        <v>27</v>
      </c>
      <c r="D20" s="37">
        <f>SUM('30510'!$D$4:$D$10)</f>
        <v>2887.7999999999997</v>
      </c>
      <c r="E20" s="37">
        <f>SUM('30510'!$D$11:$D$22)</f>
        <v>5093.6000000000004</v>
      </c>
      <c r="F20" s="37">
        <f>SUM('30510'!$D$23:$D$34)</f>
        <v>6764.1</v>
      </c>
      <c r="G20" s="37">
        <f>SUM('30510'!$D$35:$D$46)</f>
        <v>7375.2999999999993</v>
      </c>
      <c r="H20" s="37">
        <f>SUM('30510'!$D$47:$D$58)</f>
        <v>6393.2</v>
      </c>
      <c r="I20" s="37">
        <f>SUM('30510'!$D$59:$D$70)</f>
        <v>7615</v>
      </c>
      <c r="J20" s="37">
        <f t="shared" si="0"/>
        <v>36129</v>
      </c>
      <c r="K20" s="83"/>
      <c r="L20" s="37">
        <f>SUM('30510'!$E$4:$E$10)</f>
        <v>6639.0522000000001</v>
      </c>
      <c r="M20" s="37">
        <f>SUM('30510'!$E$11:$E$22)</f>
        <v>10659.556400000001</v>
      </c>
      <c r="N20" s="37">
        <f>SUM('30510'!$E$23:$E$34)</f>
        <v>13123.335899999998</v>
      </c>
      <c r="O20" s="37">
        <f>SUM('30510'!$E$35:$E$46)</f>
        <v>15419.874699999998</v>
      </c>
      <c r="P20" s="37">
        <f>SUM('30510'!$E$47:$E$58)</f>
        <v>14142.456800000002</v>
      </c>
      <c r="Q20" s="37">
        <f>SUM('30510'!$E$59:$E$70)</f>
        <v>12953.635000000002</v>
      </c>
      <c r="R20" s="40">
        <f t="shared" si="1"/>
        <v>72937.910999999993</v>
      </c>
    </row>
    <row r="21" spans="2:18" x14ac:dyDescent="0.25">
      <c r="B21" s="89">
        <v>30515</v>
      </c>
      <c r="C21" s="71" t="s">
        <v>25</v>
      </c>
      <c r="D21" s="37">
        <f>SUM('30515'!$D$4:$D$10)</f>
        <v>141.69999999999999</v>
      </c>
      <c r="E21" s="37">
        <f>SUM('30515'!$D$11:$D$22)</f>
        <v>225.6</v>
      </c>
      <c r="F21" s="37">
        <f>SUM('30515'!$D$23:$D$34)</f>
        <v>157.30000000000001</v>
      </c>
      <c r="G21" s="37">
        <f>SUM('30515'!$D$35:$D$46)</f>
        <v>186.10000000000002</v>
      </c>
      <c r="H21" s="37">
        <f>SUM('30515'!$D$47:$D$58)</f>
        <v>178</v>
      </c>
      <c r="I21" s="37">
        <f>SUM('30515'!$D$59:$D$70)</f>
        <v>97</v>
      </c>
      <c r="J21" s="37">
        <f t="shared" si="0"/>
        <v>985.69999999999993</v>
      </c>
      <c r="K21" s="83"/>
      <c r="L21" s="37">
        <f>SUM('30515'!$E$4:$E$10)</f>
        <v>325.77</v>
      </c>
      <c r="M21" s="37">
        <f>SUM('30515'!$E$11:$E$22)</f>
        <v>474.197</v>
      </c>
      <c r="N21" s="37">
        <f>SUM('30515'!$E$23:$E$34)</f>
        <v>314.44</v>
      </c>
      <c r="O21" s="37">
        <f>SUM('30515'!$E$35:$E$46)</f>
        <v>324.75</v>
      </c>
      <c r="P21" s="37">
        <f>SUM('30515'!$E$47:$E$58)</f>
        <v>444.82</v>
      </c>
      <c r="Q21" s="37">
        <f>SUM('30515'!$E$59:$E$70)</f>
        <v>159.94999999999999</v>
      </c>
      <c r="R21" s="40">
        <f t="shared" si="1"/>
        <v>2043.9269999999999</v>
      </c>
    </row>
    <row r="22" spans="2:18" x14ac:dyDescent="0.25">
      <c r="B22" s="89">
        <v>30517</v>
      </c>
      <c r="C22" s="9" t="s">
        <v>28</v>
      </c>
      <c r="D22" s="37">
        <f>SUM('30517'!$D$4:$D$10)</f>
        <v>286.60000000000002</v>
      </c>
      <c r="E22" s="37">
        <f>SUM('30517'!$D$11:$D$22)</f>
        <v>587.30000000000007</v>
      </c>
      <c r="F22" s="37">
        <f>SUM('30517'!$D$23:$D$34)</f>
        <v>655.7</v>
      </c>
      <c r="G22" s="37">
        <f>SUM('30517'!$D$35:$D$46)</f>
        <v>825.7</v>
      </c>
      <c r="H22" s="37">
        <f>SUM('30517'!$D$47:$D$58)</f>
        <v>753.2</v>
      </c>
      <c r="I22" s="37">
        <f>SUM('30517'!$D$59:$D$70)</f>
        <v>657</v>
      </c>
      <c r="J22" s="37">
        <f t="shared" si="0"/>
        <v>3765.5</v>
      </c>
      <c r="K22" s="83"/>
      <c r="L22" s="37">
        <f>SUM('30517'!$E$4:$E$10)</f>
        <v>658.89</v>
      </c>
      <c r="M22" s="37">
        <f>SUM('30517'!$E$11:$E$22)</f>
        <v>1219.43</v>
      </c>
      <c r="N22" s="37">
        <f>SUM('30517'!$E$23:$E$34)</f>
        <v>1310.75</v>
      </c>
      <c r="O22" s="37">
        <f>SUM('30517'!$E$35:$E$46)</f>
        <v>1424.3600000000001</v>
      </c>
      <c r="P22" s="37">
        <f>SUM('30517'!$E$47:$E$58)</f>
        <v>1882.26</v>
      </c>
      <c r="Q22" s="37">
        <f>SUM('30517'!$E$59:$E$70)</f>
        <v>1122.29</v>
      </c>
      <c r="R22" s="40">
        <f t="shared" si="1"/>
        <v>7617.9800000000005</v>
      </c>
    </row>
    <row r="23" spans="2:18" x14ac:dyDescent="0.25">
      <c r="B23" s="89">
        <v>30518</v>
      </c>
      <c r="C23" s="9" t="s">
        <v>29</v>
      </c>
      <c r="D23" s="37">
        <f>SUM('30518'!$D$4:$D$10)</f>
        <v>819.90000000000009</v>
      </c>
      <c r="E23" s="37">
        <f>SUM('30518'!$D$11:$D$22)</f>
        <v>1910.9</v>
      </c>
      <c r="F23" s="37">
        <f>SUM('30518'!$D$23:$D$34)</f>
        <v>1113.4000000000003</v>
      </c>
      <c r="G23" s="37">
        <f>SUM('30518'!$D$35:$D$46)</f>
        <v>1004.5</v>
      </c>
      <c r="H23" s="37">
        <f>SUM('30518'!$D$47:$D$58)</f>
        <v>1023.0999999999999</v>
      </c>
      <c r="I23" s="37">
        <f>SUM('30518'!$D$59:$D$70)</f>
        <v>902</v>
      </c>
      <c r="J23" s="37">
        <f t="shared" si="0"/>
        <v>6773.8000000000011</v>
      </c>
      <c r="K23" s="83"/>
      <c r="L23" s="37">
        <f>SUM('30518'!$E$4:$E$10)</f>
        <v>1884.93</v>
      </c>
      <c r="M23" s="37">
        <f>SUM('30518'!$E$11:$E$22)</f>
        <v>3908.8100000000004</v>
      </c>
      <c r="N23" s="37">
        <f>SUM('30518'!$E$23:$E$34)</f>
        <v>2113.39</v>
      </c>
      <c r="O23" s="37">
        <f>SUM('30518'!$E$35:$E$46)</f>
        <v>2086.5</v>
      </c>
      <c r="P23" s="37">
        <f>SUM('30518'!$E$47:$E$58)</f>
        <v>2246.23</v>
      </c>
      <c r="Q23" s="37">
        <f>SUM('30518'!$E$59:$E$70)</f>
        <v>1522.21</v>
      </c>
      <c r="R23" s="40">
        <f t="shared" si="1"/>
        <v>13762.07</v>
      </c>
    </row>
    <row r="24" spans="2:18" x14ac:dyDescent="0.25">
      <c r="B24" s="91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8"/>
    </row>
    <row r="25" spans="2:18" x14ac:dyDescent="0.25">
      <c r="B25" s="45" t="s">
        <v>3</v>
      </c>
      <c r="C25" s="25"/>
      <c r="D25" s="46">
        <f t="shared" ref="D25:J25" si="2">SUM(D5:D23)</f>
        <v>19418.400000000001</v>
      </c>
      <c r="E25" s="46">
        <f t="shared" si="2"/>
        <v>27147.460000000003</v>
      </c>
      <c r="F25" s="46">
        <f t="shared" si="2"/>
        <v>33773.5</v>
      </c>
      <c r="G25" s="46">
        <f t="shared" si="2"/>
        <v>34270.099999999991</v>
      </c>
      <c r="H25" s="46">
        <f t="shared" si="2"/>
        <v>28412.800000000003</v>
      </c>
      <c r="I25" s="46">
        <f t="shared" si="2"/>
        <v>26029</v>
      </c>
      <c r="J25" s="46">
        <f t="shared" si="2"/>
        <v>169051.26</v>
      </c>
      <c r="K25" s="86"/>
      <c r="L25" s="38">
        <f t="shared" ref="L25:R25" si="3">SUM(L5:L23)</f>
        <v>42764.892200000002</v>
      </c>
      <c r="M25" s="38">
        <f t="shared" si="3"/>
        <v>55915.203400000006</v>
      </c>
      <c r="N25" s="38">
        <f t="shared" si="3"/>
        <v>63546.055900000007</v>
      </c>
      <c r="O25" s="38">
        <f t="shared" si="3"/>
        <v>68625.894700000004</v>
      </c>
      <c r="P25" s="38">
        <f t="shared" si="3"/>
        <v>64643.7768</v>
      </c>
      <c r="Q25" s="38">
        <f t="shared" si="3"/>
        <v>44243.284999999996</v>
      </c>
      <c r="R25" s="47">
        <f t="shared" si="3"/>
        <v>339739.10800000007</v>
      </c>
    </row>
    <row r="26" spans="2:18" ht="15.75" thickBot="1" x14ac:dyDescent="0.3">
      <c r="B26" s="48" t="s">
        <v>7</v>
      </c>
      <c r="C26" s="39"/>
      <c r="D26" s="50" t="s">
        <v>30</v>
      </c>
      <c r="E26" s="49">
        <f t="shared" ref="E26:G26" si="4">(E25-F25)/F25</f>
        <v>-0.19619050438953609</v>
      </c>
      <c r="F26" s="49">
        <f t="shared" si="4"/>
        <v>-1.4490766003016957E-2</v>
      </c>
      <c r="G26" s="49">
        <f t="shared" si="4"/>
        <v>0.20615004505011783</v>
      </c>
      <c r="H26" s="49">
        <f>(H25-I25)/I25</f>
        <v>9.15824657113221E-2</v>
      </c>
      <c r="I26" s="50" t="s">
        <v>2</v>
      </c>
      <c r="J26" s="39"/>
      <c r="K26" s="87"/>
      <c r="L26" s="50" t="s">
        <v>30</v>
      </c>
      <c r="M26" s="49">
        <f t="shared" ref="M26:O26" si="5">(M25-N25)/N25</f>
        <v>-0.12008380995365599</v>
      </c>
      <c r="N26" s="49">
        <f t="shared" si="5"/>
        <v>-7.4022186846621874E-2</v>
      </c>
      <c r="O26" s="49">
        <f t="shared" si="5"/>
        <v>6.1600947486719321E-2</v>
      </c>
      <c r="P26" s="49">
        <f>(P25-Q25)/Q25</f>
        <v>0.46109803555500017</v>
      </c>
      <c r="Q26" s="50" t="s">
        <v>2</v>
      </c>
      <c r="R26" s="51"/>
    </row>
    <row r="27" spans="2:18" x14ac:dyDescent="0.25">
      <c r="B27" s="52"/>
    </row>
    <row r="28" spans="2:18" x14ac:dyDescent="0.25">
      <c r="B28" s="52"/>
    </row>
  </sheetData>
  <mergeCells count="4">
    <mergeCell ref="C3:C4"/>
    <mergeCell ref="D3:J3"/>
    <mergeCell ref="L3:R3"/>
    <mergeCell ref="B3:B4"/>
  </mergeCells>
  <conditionalFormatting sqref="F14">
    <cfRule type="cellIs" dxfId="11" priority="7" operator="lessThan">
      <formula>0</formula>
    </cfRule>
  </conditionalFormatting>
  <conditionalFormatting sqref="F5">
    <cfRule type="cellIs" dxfId="9" priority="4" operator="lessThan">
      <formula>0</formula>
    </cfRule>
  </conditionalFormatting>
  <conditionalFormatting sqref="F6">
    <cfRule type="cellIs" dxfId="8" priority="3" operator="lessThan">
      <formula>0</formula>
    </cfRule>
  </conditionalFormatting>
  <conditionalFormatting sqref="L5">
    <cfRule type="cellIs" dxfId="7" priority="2" operator="lessThan">
      <formula>0</formula>
    </cfRule>
  </conditionalFormatting>
  <conditionalFormatting sqref="L6">
    <cfRule type="cellIs" dxfId="6" priority="1" operator="lessThan">
      <formula>0</formula>
    </cfRule>
  </conditionalFormatting>
  <hyperlinks>
    <hyperlink ref="B14" location="a632400435" display="a632400435"/>
    <hyperlink ref="B5" location="b34098369" display="b34098369"/>
    <hyperlink ref="B6" location="b33772345" display="b33772345"/>
    <hyperlink ref="B7" location="b34098363" display="b34098363"/>
    <hyperlink ref="B8" location="b33772202" display="b33772202"/>
    <hyperlink ref="B9" location="b34863949" display="b34863949"/>
    <hyperlink ref="B10" location="b34098367" display="b34098367"/>
    <hyperlink ref="B11" location="b34447035" display="b34447035"/>
    <hyperlink ref="B12" location="b34098366" display="b34098366"/>
    <hyperlink ref="B13" location="b34098405" display="b34098405"/>
    <hyperlink ref="B15" location="b34098368" display="b34098368"/>
    <hyperlink ref="B16" location="b34447043" display="b34447043"/>
    <hyperlink ref="B17" location="b632404791" display="b632404791"/>
    <hyperlink ref="B18" location="b31625914" display="b31625914"/>
    <hyperlink ref="B19" location="b34098354" display="b34098354"/>
    <hyperlink ref="B20" location="b24961146" display="b24961146"/>
    <hyperlink ref="B21" location="b34098471" display="b34098471"/>
    <hyperlink ref="B22" location="b24755174" display="b24755174"/>
    <hyperlink ref="B23" location="b33772292" display="b33772292"/>
  </hyperlinks>
  <pageMargins left="0.7" right="0.7" top="0.75" bottom="0.75" header="0.3" footer="0.3"/>
  <pageSetup scale="9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0"/>
  <sheetViews>
    <sheetView zoomScale="80" zoomScaleNormal="80" workbookViewId="0">
      <pane xSplit="3" ySplit="4" topLeftCell="D5" activePane="bottomRight" state="frozen"/>
      <selection activeCell="F9" sqref="F9"/>
      <selection pane="topRight" activeCell="F9" sqref="F9"/>
      <selection pane="bottomLeft" activeCell="F9" sqref="F9"/>
      <selection pane="bottomRight" activeCell="C1" sqref="C1"/>
    </sheetView>
  </sheetViews>
  <sheetFormatPr defaultRowHeight="15" x14ac:dyDescent="0.25"/>
  <cols>
    <col min="1" max="1" width="5" style="26" customWidth="1"/>
    <col min="2" max="2" width="12" style="26" customWidth="1"/>
    <col min="3" max="3" width="30.140625" style="26" customWidth="1"/>
    <col min="4" max="15" width="12.28515625" style="26" customWidth="1"/>
    <col min="16" max="16" width="10.85546875" style="26" customWidth="1"/>
    <col min="17" max="17" width="11.28515625" style="26" customWidth="1"/>
    <col min="18" max="16384" width="9.140625" style="26"/>
  </cols>
  <sheetData>
    <row r="1" spans="1:17" x14ac:dyDescent="0.25">
      <c r="A1" s="41" t="s">
        <v>49</v>
      </c>
      <c r="C1" s="102"/>
    </row>
    <row r="2" spans="1:17" ht="15.75" thickBot="1" x14ac:dyDescent="0.3"/>
    <row r="3" spans="1:17" x14ac:dyDescent="0.25">
      <c r="B3" s="123" t="s">
        <v>0</v>
      </c>
      <c r="C3" s="119" t="s">
        <v>31</v>
      </c>
      <c r="D3" s="121" t="s">
        <v>16</v>
      </c>
      <c r="E3" s="121"/>
      <c r="F3" s="121"/>
      <c r="G3" s="121"/>
      <c r="H3" s="121"/>
      <c r="I3" s="121"/>
      <c r="J3" s="121"/>
      <c r="K3" s="121" t="s">
        <v>8</v>
      </c>
      <c r="L3" s="121"/>
      <c r="M3" s="121"/>
      <c r="N3" s="121"/>
      <c r="O3" s="121"/>
      <c r="P3" s="121"/>
      <c r="Q3" s="122"/>
    </row>
    <row r="4" spans="1:17" ht="30.75" thickBot="1" x14ac:dyDescent="0.3">
      <c r="B4" s="124"/>
      <c r="C4" s="120"/>
      <c r="D4" s="81" t="s">
        <v>35</v>
      </c>
      <c r="E4" s="81">
        <v>2011</v>
      </c>
      <c r="F4" s="81">
        <v>2010</v>
      </c>
      <c r="G4" s="81">
        <v>2009</v>
      </c>
      <c r="H4" s="81">
        <v>2008</v>
      </c>
      <c r="I4" s="81">
        <v>2007</v>
      </c>
      <c r="J4" s="81" t="s">
        <v>5</v>
      </c>
      <c r="K4" s="81" t="s">
        <v>35</v>
      </c>
      <c r="L4" s="81">
        <v>2011</v>
      </c>
      <c r="M4" s="81">
        <v>2010</v>
      </c>
      <c r="N4" s="81">
        <v>2009</v>
      </c>
      <c r="O4" s="81">
        <v>2008</v>
      </c>
      <c r="P4" s="81">
        <v>2007</v>
      </c>
      <c r="Q4" s="82" t="s">
        <v>5</v>
      </c>
    </row>
    <row r="5" spans="1:17" ht="25.5" x14ac:dyDescent="0.25">
      <c r="B5" s="89">
        <v>30510</v>
      </c>
      <c r="C5" s="95" t="s">
        <v>27</v>
      </c>
      <c r="D5" s="93">
        <f>SUM('30510'!$D$4:$D$10)</f>
        <v>2887.7999999999997</v>
      </c>
      <c r="E5" s="93">
        <f>SUM('30510'!$D$11:$D$22)</f>
        <v>5093.6000000000004</v>
      </c>
      <c r="F5" s="93">
        <f>SUM('30510'!$D$23:$D$34)</f>
        <v>6764.1</v>
      </c>
      <c r="G5" s="93">
        <f>SUM('30510'!$D$35:$D$46)</f>
        <v>7375.2999999999993</v>
      </c>
      <c r="H5" s="93">
        <f>SUM('30510'!$D$47:$D$58)</f>
        <v>6393.2</v>
      </c>
      <c r="I5" s="93">
        <f>SUM('30510'!$D$59:$D$70)</f>
        <v>7615</v>
      </c>
      <c r="J5" s="93">
        <f t="shared" ref="J5:J23" si="0">SUM(D5:I5)</f>
        <v>36129</v>
      </c>
      <c r="K5" s="117">
        <f>SUM('30510'!$E$4:$E$10)</f>
        <v>6639.0522000000001</v>
      </c>
      <c r="L5" s="117">
        <f>SUM('30510'!$E$11:$E$22)</f>
        <v>10659.556400000001</v>
      </c>
      <c r="M5" s="117">
        <f>SUM('30510'!$E$23:$E$34)</f>
        <v>13123.335899999998</v>
      </c>
      <c r="N5" s="117">
        <f>SUM('30510'!$E$35:$E$46)</f>
        <v>15419.874699999998</v>
      </c>
      <c r="O5" s="117">
        <f>SUM('30510'!$E$47:$E$58)</f>
        <v>14142.456800000002</v>
      </c>
      <c r="P5" s="117">
        <f>SUM('30510'!$E$59:$E$70)</f>
        <v>12953.635000000002</v>
      </c>
      <c r="Q5" s="118">
        <f t="shared" ref="Q5:Q23" si="1">SUM(K5:P5)</f>
        <v>72937.910999999993</v>
      </c>
    </row>
    <row r="6" spans="1:17" x14ac:dyDescent="0.25">
      <c r="B6" s="89">
        <v>30492</v>
      </c>
      <c r="C6" s="94" t="s">
        <v>17</v>
      </c>
      <c r="D6" s="93">
        <f>SUM('30492'!$D$4:$D$10)</f>
        <v>2205.6000000000004</v>
      </c>
      <c r="E6" s="93">
        <f>SUM('30492'!$D$11:$D$22)</f>
        <v>3612.1000000000004</v>
      </c>
      <c r="F6" s="93">
        <f>SUM('30492'!$D$23:$D$34)</f>
        <v>9488.4</v>
      </c>
      <c r="G6" s="93">
        <f>SUM('30492'!$D$35:$D$46)</f>
        <v>4202.8</v>
      </c>
      <c r="H6" s="93">
        <f>SUM('30492'!$D$47:$D$58)</f>
        <v>2890.7999999999997</v>
      </c>
      <c r="I6" s="93">
        <f>SUM('30492'!$D$59:$D$70)</f>
        <v>3407</v>
      </c>
      <c r="J6" s="93">
        <f t="shared" si="0"/>
        <v>25806.7</v>
      </c>
      <c r="K6" s="96">
        <f>SUM('30492'!$E$4:$E$10)</f>
        <v>5070.68</v>
      </c>
      <c r="L6" s="96">
        <f>SUM('30492'!$E$11:$E$22)</f>
        <v>7427.47</v>
      </c>
      <c r="M6" s="96">
        <f>SUM('30492'!$E$23:$E$34)</f>
        <v>17163.960000000003</v>
      </c>
      <c r="N6" s="96">
        <f>SUM('30492'!$E$35:$E$46)</f>
        <v>7188.95</v>
      </c>
      <c r="O6" s="96">
        <f>SUM('30492'!$E$47:$E$58)</f>
        <v>7224.1200000000008</v>
      </c>
      <c r="P6" s="96">
        <f>SUM('30492'!$E$59:$E$70)</f>
        <v>5776.59</v>
      </c>
      <c r="Q6" s="97">
        <f t="shared" si="1"/>
        <v>49851.770000000004</v>
      </c>
    </row>
    <row r="7" spans="1:17" x14ac:dyDescent="0.25">
      <c r="B7" s="89">
        <v>30507</v>
      </c>
      <c r="C7" s="95" t="s">
        <v>26</v>
      </c>
      <c r="D7" s="93">
        <f>SUM('30507'!$D$4:$D$10)</f>
        <v>3288.6</v>
      </c>
      <c r="E7" s="93">
        <f>SUM('30507'!$D$11:$D$22)</f>
        <v>2780.2999999999997</v>
      </c>
      <c r="F7" s="93">
        <f>SUM('30507'!$D$23:$D$34)</f>
        <v>2814.1000000000004</v>
      </c>
      <c r="G7" s="93">
        <f>SUM('30507'!$D$35:$D$46)</f>
        <v>4580</v>
      </c>
      <c r="H7" s="93">
        <f>SUM('30507'!$D$47:$D$58)</f>
        <v>3896.3</v>
      </c>
      <c r="I7" s="93">
        <f>SUM('30507'!$D$59:$D$70)</f>
        <v>2737</v>
      </c>
      <c r="J7" s="93">
        <f t="shared" si="0"/>
        <v>20096.3</v>
      </c>
      <c r="K7" s="96">
        <f>SUM('30507'!$E$4:$E$10)</f>
        <v>7560.49</v>
      </c>
      <c r="L7" s="96">
        <f>SUM('30507'!$E$11:$E$22)</f>
        <v>5685.6100000000006</v>
      </c>
      <c r="M7" s="96">
        <f>SUM('30507'!$E$23:$E$34)</f>
        <v>5318.88</v>
      </c>
      <c r="N7" s="96">
        <f>SUM('30507'!$E$35:$E$46)</f>
        <v>9545.9600000000009</v>
      </c>
      <c r="O7" s="96">
        <f>SUM('30507'!$E$47:$E$58)</f>
        <v>8715.3599999999988</v>
      </c>
      <c r="P7" s="96">
        <f>SUM('30507'!$E$59:$E$70)</f>
        <v>4729.62</v>
      </c>
      <c r="Q7" s="97">
        <f t="shared" si="1"/>
        <v>41555.920000000006</v>
      </c>
    </row>
    <row r="8" spans="1:17" x14ac:dyDescent="0.25">
      <c r="B8" s="89">
        <v>30494</v>
      </c>
      <c r="C8" s="44" t="s">
        <v>19</v>
      </c>
      <c r="D8" s="37">
        <f>SUM('30494'!$D$4:$D$10)</f>
        <v>2962.5</v>
      </c>
      <c r="E8" s="37">
        <f>SUM('30494'!$D$11:$D$22)</f>
        <v>2576.06</v>
      </c>
      <c r="F8" s="37">
        <f>SUM('30494'!$D$23:$D$34)</f>
        <v>2885.7999999999997</v>
      </c>
      <c r="G8" s="37">
        <f>SUM('30494'!$D$35:$D$46)</f>
        <v>3267.2000000000003</v>
      </c>
      <c r="H8" s="37">
        <f>SUM('30494'!$D$47:$D$58)</f>
        <v>3094</v>
      </c>
      <c r="I8" s="37">
        <f>SUM('30494'!$D$59:$D$70)</f>
        <v>2782</v>
      </c>
      <c r="J8" s="37">
        <f t="shared" si="0"/>
        <v>17567.559999999998</v>
      </c>
      <c r="K8" s="37">
        <f>SUM('30494'!$E$4:$E$10)</f>
        <v>5895.21</v>
      </c>
      <c r="L8" s="37">
        <f>SUM('30494'!$E$11:$E$22)</f>
        <v>5254.18</v>
      </c>
      <c r="M8" s="37">
        <f>SUM('30494'!$E$23:$E$34)</f>
        <v>5390.3200000000006</v>
      </c>
      <c r="N8" s="37">
        <f>SUM('30494'!$E$35:$E$46)</f>
        <v>6912.3300000000008</v>
      </c>
      <c r="O8" s="37">
        <f>SUM('30494'!$E$47:$E$58)</f>
        <v>6802.12</v>
      </c>
      <c r="P8" s="37">
        <f>SUM('30494'!$E$59:$E$70)</f>
        <v>4693.329999999999</v>
      </c>
      <c r="Q8" s="40">
        <f t="shared" si="1"/>
        <v>34947.49</v>
      </c>
    </row>
    <row r="9" spans="1:17" x14ac:dyDescent="0.25">
      <c r="B9" s="89">
        <v>30491</v>
      </c>
      <c r="C9" s="44" t="s">
        <v>18</v>
      </c>
      <c r="D9" s="37">
        <f>SUM('30491'!$D$4:$D$10)</f>
        <v>1382.3</v>
      </c>
      <c r="E9" s="37">
        <f>SUM('30491'!$D$11:$D$22)</f>
        <v>1383.8999999999999</v>
      </c>
      <c r="F9" s="37">
        <f>SUM('30491'!$D$23:$D$34)</f>
        <v>2047.9</v>
      </c>
      <c r="G9" s="37">
        <f>SUM('30491'!$D$35:$D$46)</f>
        <v>1704.8</v>
      </c>
      <c r="H9" s="37">
        <f>SUM('30491'!$D$47:$D$58)</f>
        <v>2496.5</v>
      </c>
      <c r="I9" s="37">
        <f>SUM('30491'!$D$59:$D$70)</f>
        <v>2412</v>
      </c>
      <c r="J9" s="37">
        <f t="shared" si="0"/>
        <v>11427.400000000001</v>
      </c>
      <c r="K9" s="37">
        <f>SUM('30491'!$E$4:$E$10)</f>
        <v>3177.9</v>
      </c>
      <c r="L9" s="37">
        <f>SUM('30491'!$E$11:$E$22)</f>
        <v>2867.03</v>
      </c>
      <c r="M9" s="37">
        <f>SUM('30491'!$E$23:$E$34)</f>
        <v>3862.7799999999997</v>
      </c>
      <c r="N9" s="37">
        <f>SUM('30491'!$E$35:$E$46)</f>
        <v>3297.45</v>
      </c>
      <c r="O9" s="37">
        <f>SUM('30491'!$E$47:$E$58)</f>
        <v>5488.92</v>
      </c>
      <c r="P9" s="37">
        <f>SUM('30491'!$E$59:$E$70)</f>
        <v>4146.29</v>
      </c>
      <c r="Q9" s="40">
        <f t="shared" si="1"/>
        <v>22840.370000000003</v>
      </c>
    </row>
    <row r="10" spans="1:17" x14ac:dyDescent="0.25">
      <c r="B10" s="89">
        <v>30500</v>
      </c>
      <c r="C10" s="9" t="s">
        <v>34</v>
      </c>
      <c r="D10" s="37">
        <f>SUM('30500'!$D$4:$D$10)</f>
        <v>1740.3000000000002</v>
      </c>
      <c r="E10" s="37">
        <f>SUM('30500'!$D$11:$D$22)</f>
        <v>2307.4</v>
      </c>
      <c r="F10" s="37">
        <f>SUM('30500'!$D$23:$D$34)</f>
        <v>2125.4</v>
      </c>
      <c r="G10" s="37">
        <f>SUM('30500'!$D$35:$D$46)</f>
        <v>3353.8</v>
      </c>
      <c r="H10" s="37">
        <f>SUM('30500'!$D$47:$D$58)</f>
        <v>720.1</v>
      </c>
      <c r="I10" s="37">
        <f>SUM('30500'!$D$59:$D$70)</f>
        <v>0</v>
      </c>
      <c r="J10" s="37">
        <f t="shared" si="0"/>
        <v>10247.000000000002</v>
      </c>
      <c r="K10" s="37">
        <f>SUM('30500'!$E$8:$E$10)</f>
        <v>3038.55</v>
      </c>
      <c r="L10" s="37">
        <f>SUM('30500'!$E$11:$E$22)</f>
        <v>4689.21</v>
      </c>
      <c r="M10" s="37">
        <f>SUM('30500'!$E$23:$E$34)</f>
        <v>4016.93</v>
      </c>
      <c r="N10" s="37">
        <f>SUM('30500'!$E$35:$E$46)</f>
        <v>7053.4899999999989</v>
      </c>
      <c r="O10" s="37">
        <f>SUM('30500'!$E$47:$E$58)</f>
        <v>1799.52</v>
      </c>
      <c r="P10" s="37">
        <f>SUM('30500'!$E$59:$E$70)</f>
        <v>0</v>
      </c>
      <c r="Q10" s="40">
        <f t="shared" si="1"/>
        <v>20597.7</v>
      </c>
    </row>
    <row r="11" spans="1:17" x14ac:dyDescent="0.25">
      <c r="B11" s="89">
        <v>30498</v>
      </c>
      <c r="C11" s="44" t="s">
        <v>23</v>
      </c>
      <c r="D11" s="37">
        <f>SUM('30498'!$D$4:$D$10)</f>
        <v>1310.2</v>
      </c>
      <c r="E11" s="37">
        <f>SUM('30498'!$D$11:$D$22)</f>
        <v>1317.7</v>
      </c>
      <c r="F11" s="37">
        <f>SUM('30498'!$D$23:$D$34)</f>
        <v>1441.2999999999997</v>
      </c>
      <c r="G11" s="37">
        <f>SUM('30498'!$D$35:$D$46)</f>
        <v>2241.6999999999998</v>
      </c>
      <c r="H11" s="37">
        <f>SUM('30498'!$D$47:$D$58)</f>
        <v>1878.1</v>
      </c>
      <c r="I11" s="37">
        <f>SUM('30498'!$D$59:$D$70)</f>
        <v>1463</v>
      </c>
      <c r="J11" s="37">
        <f t="shared" si="0"/>
        <v>9652</v>
      </c>
      <c r="K11" s="37">
        <f>SUM('30498'!$E$4:$E$10)</f>
        <v>3012.15</v>
      </c>
      <c r="L11" s="37">
        <f>SUM('30498'!$E$11:$E$22)</f>
        <v>2727.6200000000003</v>
      </c>
      <c r="M11" s="37">
        <f>SUM('30498'!$E$23:$E$34)</f>
        <v>2792.4799999999996</v>
      </c>
      <c r="N11" s="37">
        <f>SUM('30498'!$E$35:$E$46)</f>
        <v>4475.57</v>
      </c>
      <c r="O11" s="37">
        <f>SUM('30498'!$E$47:$E$58)</f>
        <v>4262.37</v>
      </c>
      <c r="P11" s="37">
        <f>SUM('30498'!$E$59:$E$70)</f>
        <v>2453.84</v>
      </c>
      <c r="Q11" s="40">
        <f t="shared" si="1"/>
        <v>19724.03</v>
      </c>
    </row>
    <row r="12" spans="1:17" x14ac:dyDescent="0.25">
      <c r="B12" s="89">
        <v>30518</v>
      </c>
      <c r="C12" s="9" t="s">
        <v>29</v>
      </c>
      <c r="D12" s="37">
        <f>SUM('30518'!$D$4:$D$10)</f>
        <v>819.90000000000009</v>
      </c>
      <c r="E12" s="37">
        <f>SUM('30518'!$D$11:$D$22)</f>
        <v>1910.9</v>
      </c>
      <c r="F12" s="37">
        <f>SUM('30518'!$D$23:$D$34)</f>
        <v>1113.4000000000003</v>
      </c>
      <c r="G12" s="37">
        <f>SUM('30518'!$D$35:$D$46)</f>
        <v>1004.5</v>
      </c>
      <c r="H12" s="37">
        <f>SUM('30518'!$D$47:$D$58)</f>
        <v>1023.0999999999999</v>
      </c>
      <c r="I12" s="37">
        <f>SUM('30518'!$D$59:$D$70)</f>
        <v>902</v>
      </c>
      <c r="J12" s="37">
        <f t="shared" si="0"/>
        <v>6773.8000000000011</v>
      </c>
      <c r="K12" s="37">
        <f>SUM('30518'!$E$4:$E$10)</f>
        <v>1884.93</v>
      </c>
      <c r="L12" s="37">
        <f>SUM('30518'!$E$11:$E$22)</f>
        <v>3908.8100000000004</v>
      </c>
      <c r="M12" s="37">
        <f>SUM('30518'!$E$23:$E$34)</f>
        <v>2113.39</v>
      </c>
      <c r="N12" s="37">
        <f>SUM('30518'!$E$35:$E$46)</f>
        <v>2086.5</v>
      </c>
      <c r="O12" s="37">
        <f>SUM('30518'!$E$47:$E$58)</f>
        <v>2246.23</v>
      </c>
      <c r="P12" s="37">
        <f>SUM('30518'!$E$59:$E$70)</f>
        <v>1522.21</v>
      </c>
      <c r="Q12" s="40">
        <f t="shared" si="1"/>
        <v>13762.07</v>
      </c>
    </row>
    <row r="13" spans="1:17" ht="25.5" x14ac:dyDescent="0.25">
      <c r="B13" s="89">
        <v>30490</v>
      </c>
      <c r="C13" s="44" t="s">
        <v>33</v>
      </c>
      <c r="D13" s="37">
        <f>SUM('30490'!$D$4:$D$10)</f>
        <v>532.09999999999991</v>
      </c>
      <c r="E13" s="37">
        <f>SUM('30490'!$D$11:$D$22)</f>
        <v>1058.3999999999999</v>
      </c>
      <c r="F13" s="37">
        <f>SUM('30490'!$D$23:$D$34)</f>
        <v>909.7</v>
      </c>
      <c r="G13" s="37">
        <f>SUM('30490'!$D$35:$D$46)</f>
        <v>1264.5</v>
      </c>
      <c r="H13" s="37">
        <f>SUM('30490'!$D$47:$D$58)</f>
        <v>1059.7</v>
      </c>
      <c r="I13" s="37">
        <f>SUM('30490'!$D$59:$D$70)</f>
        <v>922</v>
      </c>
      <c r="J13" s="37">
        <f t="shared" si="0"/>
        <v>5746.4</v>
      </c>
      <c r="K13" s="37">
        <f>SUM('30490'!$E$4:$E$10)</f>
        <v>1223.29</v>
      </c>
      <c r="L13" s="37">
        <f>SUM('30490'!$E$11:$E$22)</f>
        <v>2195.6000000000004</v>
      </c>
      <c r="M13" s="37">
        <f>SUM('30490'!$E$23:$E$34)</f>
        <v>1715.76</v>
      </c>
      <c r="N13" s="37">
        <f>SUM('30490'!$E$35:$E$46)</f>
        <v>2618.4300000000003</v>
      </c>
      <c r="O13" s="37">
        <f>SUM('30490'!$E$47:$E$58)</f>
        <v>2298.1799999999998</v>
      </c>
      <c r="P13" s="37">
        <f>SUM('30490'!$E$59:$E$70)</f>
        <v>1544.08</v>
      </c>
      <c r="Q13" s="40">
        <f t="shared" si="1"/>
        <v>11595.34</v>
      </c>
    </row>
    <row r="14" spans="1:17" x14ac:dyDescent="0.25">
      <c r="B14" s="90">
        <v>30505</v>
      </c>
      <c r="C14" s="92" t="s">
        <v>24</v>
      </c>
      <c r="D14" s="43">
        <f>SUM('30505'!$D$4:$D$10)</f>
        <v>628.6</v>
      </c>
      <c r="E14" s="43">
        <f>SUM('30505'!$D$11:$D$22)</f>
        <v>1178.4000000000001</v>
      </c>
      <c r="F14" s="43">
        <f>SUM('30505'!$D$23:$D$34)</f>
        <v>657.1</v>
      </c>
      <c r="G14" s="43">
        <f>SUM('30505'!$D$35:$D$46)</f>
        <v>1291.0999999999999</v>
      </c>
      <c r="H14" s="43">
        <f>SUM('30505'!$D$47:$D$58)</f>
        <v>1396.4</v>
      </c>
      <c r="I14" s="43">
        <f>SUM('30505'!$D$59:$D$70)</f>
        <v>0</v>
      </c>
      <c r="J14" s="43">
        <f t="shared" si="0"/>
        <v>5151.6000000000004</v>
      </c>
      <c r="K14" s="43">
        <f>SUM('30505'!$E$4:$E$10)</f>
        <v>1445.15</v>
      </c>
      <c r="L14" s="43">
        <f>SUM('30505'!$E$11:$E$22)</f>
        <v>2355.63</v>
      </c>
      <c r="M14" s="43">
        <f>SUM('30505'!$E$23:$E$34)</f>
        <v>1182.1199999999999</v>
      </c>
      <c r="N14" s="43">
        <f>SUM('30505'!$E$35:$E$46)</f>
        <v>2842.08</v>
      </c>
      <c r="O14" s="43">
        <f>SUM('30505'!$E$47:$E$58)</f>
        <v>3090.6</v>
      </c>
      <c r="P14" s="43">
        <f>SUM('30505'!$E$59:$E$70)</f>
        <v>0</v>
      </c>
      <c r="Q14" s="62">
        <f t="shared" si="1"/>
        <v>10915.58</v>
      </c>
    </row>
    <row r="15" spans="1:17" ht="25.5" x14ac:dyDescent="0.25">
      <c r="B15" s="89">
        <v>30493</v>
      </c>
      <c r="C15" s="44" t="s">
        <v>32</v>
      </c>
      <c r="D15" s="37">
        <f>SUM('30493'!$D$4:$D$10)</f>
        <v>458.7</v>
      </c>
      <c r="E15" s="37">
        <f>SUM('30493'!$D$11:$D$22)</f>
        <v>906.7</v>
      </c>
      <c r="F15" s="37">
        <f>SUM('30493'!$D$23:$D$34)</f>
        <v>862.5</v>
      </c>
      <c r="G15" s="37">
        <f>SUM('30493'!$D$35:$D$46)</f>
        <v>567.4</v>
      </c>
      <c r="H15" s="37">
        <f>SUM('30493'!$D$47:$D$58)</f>
        <v>780.8</v>
      </c>
      <c r="I15" s="37">
        <f>SUM('30493'!$D$59:$D$70)</f>
        <v>927</v>
      </c>
      <c r="J15" s="37">
        <f t="shared" si="0"/>
        <v>4503.1000000000004</v>
      </c>
      <c r="K15" s="37">
        <f>SUM('30493'!$E$4:$E$10)</f>
        <v>1054.55</v>
      </c>
      <c r="L15" s="37">
        <f>SUM('30493'!$E$11:$E$22)</f>
        <v>1896.59</v>
      </c>
      <c r="M15" s="37">
        <f>SUM('30493'!$E$23:$E$34)</f>
        <v>1606</v>
      </c>
      <c r="N15" s="37">
        <f>SUM('30493'!$E$35:$E$46)</f>
        <v>1252.0900000000001</v>
      </c>
      <c r="O15" s="37">
        <f>SUM('30493'!$E$47:$E$58)</f>
        <v>1653.7199999999998</v>
      </c>
      <c r="P15" s="37">
        <f>SUM('30493'!$E$59:$E$70)</f>
        <v>1553.74</v>
      </c>
      <c r="Q15" s="40">
        <f t="shared" si="1"/>
        <v>9016.6899999999987</v>
      </c>
    </row>
    <row r="16" spans="1:17" x14ac:dyDescent="0.25">
      <c r="B16" s="89">
        <v>30517</v>
      </c>
      <c r="C16" s="9" t="s">
        <v>28</v>
      </c>
      <c r="D16" s="37">
        <f>SUM('30517'!$D$4:$D$10)</f>
        <v>286.60000000000002</v>
      </c>
      <c r="E16" s="37">
        <f>SUM('30517'!$D$11:$D$22)</f>
        <v>587.30000000000007</v>
      </c>
      <c r="F16" s="37">
        <f>SUM('30517'!$D$23:$D$34)</f>
        <v>655.7</v>
      </c>
      <c r="G16" s="37">
        <f>SUM('30517'!$D$35:$D$46)</f>
        <v>825.7</v>
      </c>
      <c r="H16" s="37">
        <f>SUM('30517'!$D$47:$D$58)</f>
        <v>753.2</v>
      </c>
      <c r="I16" s="37">
        <f>SUM('30517'!$D$59:$D$70)</f>
        <v>657</v>
      </c>
      <c r="J16" s="37">
        <f t="shared" si="0"/>
        <v>3765.5</v>
      </c>
      <c r="K16" s="37">
        <f>SUM('30517'!$E$4:$E$10)</f>
        <v>658.89</v>
      </c>
      <c r="L16" s="37">
        <f>SUM('30517'!$E$11:$E$22)</f>
        <v>1219.43</v>
      </c>
      <c r="M16" s="37">
        <f>SUM('30517'!$E$23:$E$34)</f>
        <v>1310.75</v>
      </c>
      <c r="N16" s="37">
        <f>SUM('30517'!$E$35:$E$46)</f>
        <v>1424.3600000000001</v>
      </c>
      <c r="O16" s="37">
        <f>SUM('30517'!$E$47:$E$58)</f>
        <v>1882.26</v>
      </c>
      <c r="P16" s="37">
        <f>SUM('30517'!$E$59:$E$70)</f>
        <v>1122.29</v>
      </c>
      <c r="Q16" s="40">
        <f t="shared" si="1"/>
        <v>7617.9800000000005</v>
      </c>
    </row>
    <row r="17" spans="2:17" x14ac:dyDescent="0.25">
      <c r="B17" s="89">
        <v>30496</v>
      </c>
      <c r="C17" s="44" t="s">
        <v>21</v>
      </c>
      <c r="D17" s="37">
        <f>SUM('30496'!$D$4:$D$10)</f>
        <v>280.2</v>
      </c>
      <c r="E17" s="37">
        <f>SUM('30496'!$D$11:$D$22)</f>
        <v>552.20000000000005</v>
      </c>
      <c r="F17" s="37">
        <f>SUM('30496'!$D$23:$D$34)</f>
        <v>468.9</v>
      </c>
      <c r="G17" s="37">
        <f>SUM('30496'!$D$35:$D$46)</f>
        <v>675.80000000000007</v>
      </c>
      <c r="H17" s="37">
        <f>SUM('30496'!$D$47:$D$58)</f>
        <v>516.6</v>
      </c>
      <c r="I17" s="37">
        <f>SUM('30496'!$D$59:$D$70)</f>
        <v>583</v>
      </c>
      <c r="J17" s="37">
        <f t="shared" si="0"/>
        <v>3076.7000000000003</v>
      </c>
      <c r="K17" s="37">
        <f>SUM('30496'!$E$4:$E$10)</f>
        <v>644.18000000000006</v>
      </c>
      <c r="L17" s="37">
        <f>SUM('30496'!$E$11:$E$22)</f>
        <v>1165.47</v>
      </c>
      <c r="M17" s="37">
        <f>SUM('30496'!$E$23:$E$34)</f>
        <v>937.32999999999993</v>
      </c>
      <c r="N17" s="37">
        <f>SUM('30496'!$E$35:$E$46)</f>
        <v>1166.52</v>
      </c>
      <c r="O17" s="37">
        <f>SUM('30496'!$E$47:$E$58)</f>
        <v>1290.98</v>
      </c>
      <c r="P17" s="37">
        <f>SUM('30496'!$E$59:$E$70)</f>
        <v>991.7600000000001</v>
      </c>
      <c r="Q17" s="40">
        <f t="shared" si="1"/>
        <v>6196.24</v>
      </c>
    </row>
    <row r="18" spans="2:17" x14ac:dyDescent="0.25">
      <c r="B18" s="89">
        <v>30509</v>
      </c>
      <c r="C18" s="71" t="s">
        <v>25</v>
      </c>
      <c r="D18" s="37">
        <f>SUM('30509'!$D$4:$D$10)</f>
        <v>137.5</v>
      </c>
      <c r="E18" s="37">
        <f>SUM('30509'!$D$11:$D$22)</f>
        <v>570.4</v>
      </c>
      <c r="F18" s="37">
        <f>SUM('30509'!$D$23:$D$34)</f>
        <v>445.5</v>
      </c>
      <c r="G18" s="37">
        <f>SUM('30509'!$D$35:$D$46)</f>
        <v>609.79999999999995</v>
      </c>
      <c r="H18" s="37">
        <f>SUM('30509'!$D$47:$D$58)</f>
        <v>510.40000000000003</v>
      </c>
      <c r="I18" s="37">
        <f>SUM('30509'!$D$59:$D$70)</f>
        <v>551</v>
      </c>
      <c r="J18" s="37">
        <f t="shared" si="0"/>
        <v>2824.6</v>
      </c>
      <c r="K18" s="37">
        <f>SUM('30509'!$E$4:$E$10)</f>
        <v>316.11</v>
      </c>
      <c r="L18" s="37">
        <f>SUM('30509'!$E$11:$E$22)</f>
        <v>1179.95</v>
      </c>
      <c r="M18" s="37">
        <f>SUM('30509'!$E$23:$E$34)</f>
        <v>890.55000000000007</v>
      </c>
      <c r="N18" s="37">
        <f>SUM('30509'!$E$35:$E$46)</f>
        <v>1053.6600000000001</v>
      </c>
      <c r="O18" s="37">
        <f>SUM('30509'!$E$47:$E$58)</f>
        <v>1275.49</v>
      </c>
      <c r="P18" s="37">
        <f>SUM('30509'!$E$59:$E$70)</f>
        <v>940.21</v>
      </c>
      <c r="Q18" s="40">
        <f t="shared" si="1"/>
        <v>5655.97</v>
      </c>
    </row>
    <row r="19" spans="2:17" x14ac:dyDescent="0.25">
      <c r="B19" s="89">
        <v>30497</v>
      </c>
      <c r="C19" s="44" t="s">
        <v>22</v>
      </c>
      <c r="D19" s="37">
        <f>SUM('30497'!$D$4:$D$10)</f>
        <v>223.60000000000002</v>
      </c>
      <c r="E19" s="37">
        <f>SUM('30497'!$D$11:$D$22)</f>
        <v>472.4</v>
      </c>
      <c r="F19" s="37">
        <f>SUM('30497'!$D$23:$D$34)</f>
        <v>421.70000000000005</v>
      </c>
      <c r="G19" s="37">
        <f>SUM('30497'!$D$35:$D$46)</f>
        <v>519.40000000000009</v>
      </c>
      <c r="H19" s="37">
        <f>SUM('30497'!$D$47:$D$58)</f>
        <v>558.4</v>
      </c>
      <c r="I19" s="37">
        <f>SUM('30497'!$D$59:$D$70)</f>
        <v>491</v>
      </c>
      <c r="J19" s="37">
        <f t="shared" si="0"/>
        <v>2686.5</v>
      </c>
      <c r="K19" s="37">
        <f>SUM('30497'!$E$4:$E$10)</f>
        <v>514.05999999999995</v>
      </c>
      <c r="L19" s="37">
        <f>SUM('30497'!$E$11:$E$22)</f>
        <v>981.26</v>
      </c>
      <c r="M19" s="37">
        <f>SUM('30497'!$E$23:$E$34)</f>
        <v>842.98000000000013</v>
      </c>
      <c r="N19" s="37">
        <f>SUM('30497'!$E$35:$E$46)</f>
        <v>896.51</v>
      </c>
      <c r="O19" s="37">
        <f>SUM('30497'!$E$47:$E$58)</f>
        <v>1358.9</v>
      </c>
      <c r="P19" s="37">
        <f>SUM('30497'!$E$59:$E$70)</f>
        <v>841.27</v>
      </c>
      <c r="Q19" s="40">
        <f t="shared" si="1"/>
        <v>5434.9800000000014</v>
      </c>
    </row>
    <row r="20" spans="2:17" x14ac:dyDescent="0.25">
      <c r="B20" s="89">
        <v>30495</v>
      </c>
      <c r="C20" s="44" t="s">
        <v>20</v>
      </c>
      <c r="D20" s="37">
        <f>SUM('30495'!$D$4:$D$10)</f>
        <v>132.19999999999999</v>
      </c>
      <c r="E20" s="37">
        <f>SUM('30495'!$D$11:$D$22)</f>
        <v>156.6</v>
      </c>
      <c r="F20" s="37">
        <f>SUM('30495'!$D$23:$D$34)</f>
        <v>190.5</v>
      </c>
      <c r="G20" s="37">
        <f>SUM('30495'!$D$35:$D$46)</f>
        <v>229.3</v>
      </c>
      <c r="H20" s="37">
        <f>SUM('30495'!$D$47:$D$58)</f>
        <v>267.2</v>
      </c>
      <c r="I20" s="37">
        <f>SUM('30495'!$D$59:$D$70)</f>
        <v>180</v>
      </c>
      <c r="J20" s="37">
        <f t="shared" si="0"/>
        <v>1155.8</v>
      </c>
      <c r="K20" s="37">
        <f>SUM('30495'!$E$4:$E$10)</f>
        <v>303.93</v>
      </c>
      <c r="L20" s="37">
        <f>SUM('30495'!$E$11:$E$22)</f>
        <v>313.04000000000002</v>
      </c>
      <c r="M20" s="37">
        <f>SUM('30495'!$E$23:$E$34)</f>
        <v>380.81</v>
      </c>
      <c r="N20" s="37">
        <f>SUM('30495'!$E$35:$E$46)</f>
        <v>400.12</v>
      </c>
      <c r="O20" s="37">
        <f>SUM('30495'!$E$47:$E$58)</f>
        <v>667.73</v>
      </c>
      <c r="P20" s="37">
        <f>SUM('30495'!$E$59:$E$70)</f>
        <v>314.82</v>
      </c>
      <c r="Q20" s="40">
        <f t="shared" si="1"/>
        <v>2380.4500000000003</v>
      </c>
    </row>
    <row r="21" spans="2:17" x14ac:dyDescent="0.25">
      <c r="B21" s="89">
        <v>30515</v>
      </c>
      <c r="C21" s="98" t="s">
        <v>25</v>
      </c>
      <c r="D21" s="99">
        <f>SUM('30515'!$D$4:$D$10)</f>
        <v>141.69999999999999</v>
      </c>
      <c r="E21" s="99">
        <f>SUM('30515'!$D$11:$D$22)</f>
        <v>225.6</v>
      </c>
      <c r="F21" s="99">
        <f>SUM('30515'!$D$23:$D$34)</f>
        <v>157.30000000000001</v>
      </c>
      <c r="G21" s="99">
        <f>SUM('30515'!$D$35:$D$46)</f>
        <v>186.10000000000002</v>
      </c>
      <c r="H21" s="99">
        <f>SUM('30515'!$D$47:$D$58)</f>
        <v>178</v>
      </c>
      <c r="I21" s="99">
        <f>SUM('30515'!$D$59:$D$70)</f>
        <v>97</v>
      </c>
      <c r="J21" s="99">
        <f t="shared" si="0"/>
        <v>985.69999999999993</v>
      </c>
      <c r="K21" s="100">
        <f>SUM('30515'!$E$4:$E$10)</f>
        <v>325.77</v>
      </c>
      <c r="L21" s="100">
        <f>SUM('30515'!$E$11:$E$22)</f>
        <v>474.197</v>
      </c>
      <c r="M21" s="100">
        <f>SUM('30515'!$E$23:$E$34)</f>
        <v>314.44</v>
      </c>
      <c r="N21" s="100">
        <f>SUM('30515'!$E$35:$E$46)</f>
        <v>324.75</v>
      </c>
      <c r="O21" s="100">
        <f>SUM('30515'!$E$47:$E$58)</f>
        <v>444.82</v>
      </c>
      <c r="P21" s="100">
        <f>SUM('30515'!$E$59:$E$70)</f>
        <v>159.94999999999999</v>
      </c>
      <c r="Q21" s="101">
        <f t="shared" si="1"/>
        <v>2043.9269999999999</v>
      </c>
    </row>
    <row r="22" spans="2:17" x14ac:dyDescent="0.25">
      <c r="B22" s="89">
        <v>30508</v>
      </c>
      <c r="C22" s="98" t="s">
        <v>25</v>
      </c>
      <c r="D22" s="99">
        <f>SUM('30508'!$D$4:$D$10)</f>
        <v>0</v>
      </c>
      <c r="E22" s="99">
        <f>SUM('30508'!$D$11:$D$22)</f>
        <v>457.5</v>
      </c>
      <c r="F22" s="99">
        <f>SUM('30508'!$D$23:$D$34)</f>
        <v>0</v>
      </c>
      <c r="G22" s="99">
        <f>SUM('30508'!$D$35:$D$46)</f>
        <v>0</v>
      </c>
      <c r="H22" s="99">
        <f>SUM('30508'!$D$47:$D$58)</f>
        <v>0</v>
      </c>
      <c r="I22" s="99">
        <f>SUM('30508'!$D$59:$D$70)</f>
        <v>303</v>
      </c>
      <c r="J22" s="99">
        <f t="shared" si="0"/>
        <v>760.5</v>
      </c>
      <c r="K22" s="100">
        <f>SUM('30508'!$E$4:$E$10)</f>
        <v>0</v>
      </c>
      <c r="L22" s="100">
        <f>SUM('30508'!$E$11:$E$22)</f>
        <v>914.55</v>
      </c>
      <c r="M22" s="100">
        <f>SUM('30508'!$E$23:$E$34)</f>
        <v>0</v>
      </c>
      <c r="N22" s="100">
        <f>SUM('30508'!$E$35:$E$46)</f>
        <v>0</v>
      </c>
      <c r="O22" s="100">
        <f>SUM('30508'!$E$47:$E$58)</f>
        <v>0</v>
      </c>
      <c r="P22" s="100">
        <f>SUM('30508'!$E$59:$E$70)</f>
        <v>499.65</v>
      </c>
      <c r="Q22" s="101">
        <f t="shared" si="1"/>
        <v>1414.1999999999998</v>
      </c>
    </row>
    <row r="23" spans="2:17" x14ac:dyDescent="0.25">
      <c r="B23" s="89">
        <v>30506</v>
      </c>
      <c r="C23" s="98" t="s">
        <v>25</v>
      </c>
      <c r="D23" s="99">
        <f>SUM('30506'!$D$4:$D$10)</f>
        <v>0</v>
      </c>
      <c r="E23" s="99">
        <f>SUM('30506'!$D$11:$D$22)</f>
        <v>0</v>
      </c>
      <c r="F23" s="99">
        <f>SUM('30506'!$D$23:$D$34)</f>
        <v>324.2</v>
      </c>
      <c r="G23" s="99">
        <f>SUM('30506'!$D$35:$D$46)</f>
        <v>370.9</v>
      </c>
      <c r="H23" s="99">
        <f>SUM('30506'!$D$47:$D$58)</f>
        <v>0</v>
      </c>
      <c r="I23" s="99">
        <f>SUM('30506'!$D$59:$D$70)</f>
        <v>0</v>
      </c>
      <c r="J23" s="99">
        <f t="shared" si="0"/>
        <v>695.09999999999991</v>
      </c>
      <c r="K23" s="100">
        <f>SUM('30506'!$E$4:$E$10)</f>
        <v>0</v>
      </c>
      <c r="L23" s="100">
        <f>SUM('30506'!$E$11:$E$22)</f>
        <v>0</v>
      </c>
      <c r="M23" s="100">
        <f>SUM('30506'!$E$23:$E$34)</f>
        <v>583.24</v>
      </c>
      <c r="N23" s="100">
        <f>SUM('30506'!$E$35:$E$46)</f>
        <v>667.25</v>
      </c>
      <c r="O23" s="100">
        <f>SUM('30506'!$E$47:$E$58)</f>
        <v>0</v>
      </c>
      <c r="P23" s="100">
        <f>SUM('30506'!$E$59:$E$70)</f>
        <v>0</v>
      </c>
      <c r="Q23" s="101">
        <f t="shared" si="1"/>
        <v>1250.49</v>
      </c>
    </row>
    <row r="24" spans="2:17" x14ac:dyDescent="0.25">
      <c r="B24" s="91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8"/>
    </row>
    <row r="25" spans="2:17" x14ac:dyDescent="0.25">
      <c r="B25" s="45" t="s">
        <v>3</v>
      </c>
      <c r="C25" s="25"/>
      <c r="D25" s="46">
        <f t="shared" ref="D25:J25" si="2">SUM(D5:D23)</f>
        <v>19418.399999999998</v>
      </c>
      <c r="E25" s="46">
        <f t="shared" si="2"/>
        <v>27147.460000000006</v>
      </c>
      <c r="F25" s="46">
        <f t="shared" si="2"/>
        <v>33773.5</v>
      </c>
      <c r="G25" s="46">
        <f t="shared" si="2"/>
        <v>34270.100000000006</v>
      </c>
      <c r="H25" s="46">
        <f t="shared" si="2"/>
        <v>28412.799999999999</v>
      </c>
      <c r="I25" s="46">
        <f t="shared" si="2"/>
        <v>26029</v>
      </c>
      <c r="J25" s="46">
        <f t="shared" si="2"/>
        <v>169051.26</v>
      </c>
      <c r="K25" s="38">
        <f t="shared" ref="K25:Q25" si="3">SUM(K5:K23)</f>
        <v>42764.892200000002</v>
      </c>
      <c r="L25" s="38">
        <f t="shared" si="3"/>
        <v>55915.203399999999</v>
      </c>
      <c r="M25" s="38">
        <f t="shared" si="3"/>
        <v>63546.055900000007</v>
      </c>
      <c r="N25" s="38">
        <f t="shared" si="3"/>
        <v>68625.894699999975</v>
      </c>
      <c r="O25" s="38">
        <f t="shared" si="3"/>
        <v>64643.776800000014</v>
      </c>
      <c r="P25" s="38">
        <f t="shared" si="3"/>
        <v>44243.284999999996</v>
      </c>
      <c r="Q25" s="47">
        <f t="shared" si="3"/>
        <v>339739.10800000001</v>
      </c>
    </row>
    <row r="26" spans="2:17" ht="15.75" thickBot="1" x14ac:dyDescent="0.3">
      <c r="B26" s="48" t="s">
        <v>7</v>
      </c>
      <c r="C26" s="39"/>
      <c r="D26" s="50" t="s">
        <v>30</v>
      </c>
      <c r="E26" s="49">
        <f t="shared" ref="E26:G26" si="4">(E25-F25)/F25</f>
        <v>-0.19619050438953597</v>
      </c>
      <c r="F26" s="49">
        <f t="shared" si="4"/>
        <v>-1.4490766003017375E-2</v>
      </c>
      <c r="G26" s="49">
        <f t="shared" si="4"/>
        <v>0.2061500450501185</v>
      </c>
      <c r="H26" s="49">
        <f>(H25-I25)/I25</f>
        <v>9.1582465711321961E-2</v>
      </c>
      <c r="I26" s="50" t="s">
        <v>2</v>
      </c>
      <c r="J26" s="39"/>
      <c r="K26" s="50" t="s">
        <v>30</v>
      </c>
      <c r="L26" s="49">
        <f t="shared" ref="L26:N26" si="5">(L25-M25)/M25</f>
        <v>-0.12008380995365611</v>
      </c>
      <c r="M26" s="49">
        <f t="shared" si="5"/>
        <v>-7.4022186846621471E-2</v>
      </c>
      <c r="N26" s="49">
        <f t="shared" si="5"/>
        <v>6.1600947486718634E-2</v>
      </c>
      <c r="O26" s="49">
        <f>(O25-P25)/P25</f>
        <v>0.46109803555500051</v>
      </c>
      <c r="P26" s="50" t="s">
        <v>2</v>
      </c>
      <c r="Q26" s="51"/>
    </row>
    <row r="27" spans="2:17" x14ac:dyDescent="0.25">
      <c r="B27" s="52"/>
    </row>
    <row r="28" spans="2:17" x14ac:dyDescent="0.25">
      <c r="B28" s="52"/>
    </row>
    <row r="29" spans="2:17" x14ac:dyDescent="0.25">
      <c r="B29" s="102" t="s">
        <v>9</v>
      </c>
      <c r="D29" s="30"/>
      <c r="E29" s="30">
        <f t="shared" ref="E29:J29" si="6">SUM(E5:E7)</f>
        <v>11486</v>
      </c>
      <c r="F29" s="30">
        <f t="shared" si="6"/>
        <v>19066.599999999999</v>
      </c>
      <c r="G29" s="30">
        <f t="shared" si="6"/>
        <v>16158.099999999999</v>
      </c>
      <c r="H29" s="30">
        <f t="shared" si="6"/>
        <v>13180.3</v>
      </c>
      <c r="I29" s="30">
        <f t="shared" si="6"/>
        <v>13759</v>
      </c>
      <c r="J29" s="30">
        <f t="shared" si="6"/>
        <v>82032</v>
      </c>
      <c r="K29" s="103"/>
      <c r="L29" s="104">
        <f t="shared" ref="L29:Q29" si="7">SUM(L5:L7)</f>
        <v>23772.636400000003</v>
      </c>
      <c r="M29" s="104">
        <f t="shared" si="7"/>
        <v>35606.175900000002</v>
      </c>
      <c r="N29" s="104">
        <f t="shared" si="7"/>
        <v>32154.784699999997</v>
      </c>
      <c r="O29" s="104">
        <f t="shared" si="7"/>
        <v>30081.936800000003</v>
      </c>
      <c r="P29" s="104">
        <f t="shared" si="7"/>
        <v>23459.845000000001</v>
      </c>
      <c r="Q29" s="104">
        <f t="shared" si="7"/>
        <v>164345.601</v>
      </c>
    </row>
    <row r="30" spans="2:17" x14ac:dyDescent="0.25">
      <c r="B30" s="102" t="s">
        <v>10</v>
      </c>
      <c r="D30" s="31"/>
      <c r="E30" s="31">
        <f t="shared" ref="E30:J30" si="8">E29/E25</f>
        <v>0.42309667276422902</v>
      </c>
      <c r="F30" s="31">
        <f t="shared" si="8"/>
        <v>0.56454320695219617</v>
      </c>
      <c r="G30" s="31">
        <f t="shared" si="8"/>
        <v>0.47149264227416893</v>
      </c>
      <c r="H30" s="31">
        <f t="shared" si="8"/>
        <v>0.46388599504448697</v>
      </c>
      <c r="I30" s="31">
        <f t="shared" si="8"/>
        <v>0.52860271235929157</v>
      </c>
      <c r="J30" s="31">
        <f t="shared" si="8"/>
        <v>0.48524926699747756</v>
      </c>
      <c r="K30" s="103"/>
      <c r="L30" s="105">
        <f t="shared" ref="L30:Q30" si="9">L29/L25</f>
        <v>0.42515514483490197</v>
      </c>
      <c r="M30" s="105">
        <f t="shared" si="9"/>
        <v>0.56032078459805712</v>
      </c>
      <c r="N30" s="105">
        <f t="shared" si="9"/>
        <v>0.46855177394138964</v>
      </c>
      <c r="O30" s="105">
        <f t="shared" si="9"/>
        <v>0.46534930799402174</v>
      </c>
      <c r="P30" s="105">
        <f t="shared" si="9"/>
        <v>0.53024645434894813</v>
      </c>
      <c r="Q30" s="105">
        <f t="shared" si="9"/>
        <v>0.48374060309830447</v>
      </c>
    </row>
    <row r="31" spans="2:17" x14ac:dyDescent="0.25">
      <c r="B31" s="102" t="s">
        <v>11</v>
      </c>
      <c r="D31" s="32"/>
      <c r="E31" s="33">
        <f t="shared" ref="E31:J31" si="10">SUM(E21:E23)</f>
        <v>683.1</v>
      </c>
      <c r="F31" s="33">
        <f t="shared" si="10"/>
        <v>481.5</v>
      </c>
      <c r="G31" s="33">
        <f t="shared" si="10"/>
        <v>557</v>
      </c>
      <c r="H31" s="33">
        <f t="shared" si="10"/>
        <v>178</v>
      </c>
      <c r="I31" s="33">
        <f t="shared" si="10"/>
        <v>400</v>
      </c>
      <c r="J31" s="33">
        <f t="shared" si="10"/>
        <v>2441.2999999999997</v>
      </c>
      <c r="K31" s="106"/>
      <c r="L31" s="107">
        <f t="shared" ref="L31:Q31" si="11">SUM(L21:L23)</f>
        <v>1388.7469999999998</v>
      </c>
      <c r="M31" s="107">
        <f t="shared" si="11"/>
        <v>897.68000000000006</v>
      </c>
      <c r="N31" s="107">
        <f t="shared" si="11"/>
        <v>992</v>
      </c>
      <c r="O31" s="107">
        <f t="shared" si="11"/>
        <v>444.82</v>
      </c>
      <c r="P31" s="107">
        <f t="shared" si="11"/>
        <v>659.59999999999991</v>
      </c>
      <c r="Q31" s="107">
        <f t="shared" si="11"/>
        <v>4708.6169999999993</v>
      </c>
    </row>
    <row r="32" spans="2:17" x14ac:dyDescent="0.25">
      <c r="B32" s="102" t="s">
        <v>12</v>
      </c>
      <c r="D32" s="32"/>
      <c r="E32" s="34">
        <f t="shared" ref="E32:I32" si="12">E31/E25</f>
        <v>2.5162575062271014E-2</v>
      </c>
      <c r="F32" s="34">
        <f t="shared" si="12"/>
        <v>1.425673975158038E-2</v>
      </c>
      <c r="G32" s="34">
        <f t="shared" si="12"/>
        <v>1.625323532758877E-2</v>
      </c>
      <c r="H32" s="34">
        <f t="shared" si="12"/>
        <v>6.2647820700529339E-3</v>
      </c>
      <c r="I32" s="34">
        <f t="shared" si="12"/>
        <v>1.5367474739713397E-2</v>
      </c>
      <c r="J32" s="34">
        <f>J31/J25</f>
        <v>1.4441181923163422E-2</v>
      </c>
      <c r="K32" s="106"/>
      <c r="L32" s="108">
        <f t="shared" ref="L32:P32" si="13">L31/L25</f>
        <v>2.4836661865742224E-2</v>
      </c>
      <c r="M32" s="108">
        <f t="shared" si="13"/>
        <v>1.4126447145872353E-2</v>
      </c>
      <c r="N32" s="108">
        <f t="shared" si="13"/>
        <v>1.4455184946390219E-2</v>
      </c>
      <c r="O32" s="108">
        <f t="shared" si="13"/>
        <v>6.8810954746072305E-3</v>
      </c>
      <c r="P32" s="108">
        <f t="shared" si="13"/>
        <v>1.4908477071718339E-2</v>
      </c>
      <c r="Q32" s="108">
        <f>Q31/Q25</f>
        <v>1.3859508337791948E-2</v>
      </c>
    </row>
    <row r="34" spans="3:7" x14ac:dyDescent="0.25">
      <c r="F34" s="53"/>
    </row>
    <row r="35" spans="3:7" ht="60" x14ac:dyDescent="0.25">
      <c r="C35" s="109" t="s">
        <v>36</v>
      </c>
      <c r="D35" s="109" t="s">
        <v>42</v>
      </c>
      <c r="E35" s="109" t="s">
        <v>43</v>
      </c>
      <c r="F35" s="109" t="s">
        <v>44</v>
      </c>
      <c r="G35" s="109" t="s">
        <v>45</v>
      </c>
    </row>
    <row r="36" spans="3:7" x14ac:dyDescent="0.25">
      <c r="C36" s="110" t="s">
        <v>37</v>
      </c>
      <c r="D36" s="111">
        <f t="shared" ref="D36:E38" si="14">E5</f>
        <v>5093.6000000000004</v>
      </c>
      <c r="E36" s="111">
        <f t="shared" si="14"/>
        <v>6764.1</v>
      </c>
      <c r="F36" s="112">
        <f>D36/E25</f>
        <v>0.18762712975725904</v>
      </c>
      <c r="G36" s="112">
        <f>(D36-E36)/E36</f>
        <v>-0.24696559778832364</v>
      </c>
    </row>
    <row r="37" spans="3:7" x14ac:dyDescent="0.25">
      <c r="C37" s="110" t="s">
        <v>38</v>
      </c>
      <c r="D37" s="111">
        <f t="shared" si="14"/>
        <v>3612.1000000000004</v>
      </c>
      <c r="E37" s="111">
        <f t="shared" si="14"/>
        <v>9488.4</v>
      </c>
      <c r="F37" s="112">
        <f>D37/E25</f>
        <v>0.13305480512725681</v>
      </c>
      <c r="G37" s="112">
        <f>(D37-E37)/E37</f>
        <v>-0.61931410986046109</v>
      </c>
    </row>
    <row r="38" spans="3:7" x14ac:dyDescent="0.25">
      <c r="C38" s="110" t="s">
        <v>41</v>
      </c>
      <c r="D38" s="111">
        <f t="shared" si="14"/>
        <v>2780.2999999999997</v>
      </c>
      <c r="E38" s="111">
        <f t="shared" si="14"/>
        <v>2814.1000000000004</v>
      </c>
      <c r="F38" s="112">
        <f>D38/E25</f>
        <v>0.10241473787971321</v>
      </c>
      <c r="G38" s="112">
        <f>(D38-E38)/E38</f>
        <v>-1.2010944884688046E-2</v>
      </c>
    </row>
    <row r="39" spans="3:7" x14ac:dyDescent="0.25">
      <c r="C39" s="113" t="s">
        <v>39</v>
      </c>
      <c r="D39" s="8">
        <f>SUM(E8:E23)</f>
        <v>15661.460000000001</v>
      </c>
      <c r="E39" s="8">
        <f>SUM(F8:F23)</f>
        <v>14706.900000000001</v>
      </c>
      <c r="F39" s="112">
        <f>D39/E25</f>
        <v>0.57690332723577076</v>
      </c>
      <c r="G39" s="112">
        <f>(D39-E39)/E39</f>
        <v>6.4905588533273453E-2</v>
      </c>
    </row>
    <row r="40" spans="3:7" x14ac:dyDescent="0.25">
      <c r="C40" s="114" t="s">
        <v>40</v>
      </c>
      <c r="D40" s="115">
        <f>SUM(D36:D39)</f>
        <v>27147.46</v>
      </c>
      <c r="E40" s="115">
        <f>SUM(E36:E39)</f>
        <v>33773.5</v>
      </c>
      <c r="F40" s="116">
        <f>SUM(F36:F39)</f>
        <v>0.99999999999999978</v>
      </c>
      <c r="G40" s="116">
        <f>(D40-E40)/E40</f>
        <v>-0.1961905043895362</v>
      </c>
    </row>
  </sheetData>
  <sortState ref="B5:R23">
    <sortCondition descending="1" ref="J5:J23"/>
  </sortState>
  <mergeCells count="4">
    <mergeCell ref="B3:B4"/>
    <mergeCell ref="C3:C4"/>
    <mergeCell ref="D3:J3"/>
    <mergeCell ref="K3:Q3"/>
  </mergeCells>
  <conditionalFormatting sqref="F14">
    <cfRule type="cellIs" dxfId="5" priority="6" operator="lessThan">
      <formula>0</formula>
    </cfRule>
  </conditionalFormatting>
  <conditionalFormatting sqref="K14">
    <cfRule type="cellIs" dxfId="4" priority="5" operator="lessThan">
      <formula>0</formula>
    </cfRule>
  </conditionalFormatting>
  <conditionalFormatting sqref="F5">
    <cfRule type="cellIs" dxfId="3" priority="4" operator="lessThan">
      <formula>0</formula>
    </cfRule>
  </conditionalFormatting>
  <conditionalFormatting sqref="F6">
    <cfRule type="cellIs" dxfId="2" priority="3" operator="lessThan">
      <formula>0</formula>
    </cfRule>
  </conditionalFormatting>
  <conditionalFormatting sqref="K5">
    <cfRule type="cellIs" dxfId="1" priority="2" operator="lessThan">
      <formula>0</formula>
    </cfRule>
  </conditionalFormatting>
  <conditionalFormatting sqref="K6">
    <cfRule type="cellIs" dxfId="0" priority="1" operator="lessThan">
      <formula>0</formula>
    </cfRule>
  </conditionalFormatting>
  <hyperlinks>
    <hyperlink ref="B10" location="a632400435" display="a632400435"/>
    <hyperlink ref="B13" location="b34098369" display="b34098369"/>
    <hyperlink ref="B9" location="b33772345" display="b33772345"/>
    <hyperlink ref="B6" location="b34098363" display="b34098363"/>
    <hyperlink ref="B15" location="b33772202" display="b33772202"/>
    <hyperlink ref="B8" location="b34863949" display="b34863949"/>
    <hyperlink ref="B20" location="b34098367" display="b34098367"/>
    <hyperlink ref="B17" location="b34447035" display="b34447035"/>
    <hyperlink ref="B19" location="b34098366" display="b34098366"/>
    <hyperlink ref="B11" location="b34098405" display="b34098405"/>
    <hyperlink ref="B14" location="b34098368" display="b34098368"/>
    <hyperlink ref="B23" location="b34447043" display="b34447043"/>
    <hyperlink ref="B7" location="b632404791" display="b632404791"/>
    <hyperlink ref="B22" location="b31625914" display="b31625914"/>
    <hyperlink ref="B18" location="b34098354" display="b34098354"/>
    <hyperlink ref="B5" location="b24961146" display="b24961146"/>
    <hyperlink ref="B21" location="b34098471" display="b34098471"/>
    <hyperlink ref="B16" location="b24755174" display="b24755174"/>
    <hyperlink ref="B12" location="b33772292" display="b33772292"/>
  </hyperlinks>
  <pageMargins left="0.7" right="0.7" top="0.75" bottom="0.75" header="0.3" footer="0.3"/>
  <pageSetup scale="9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/>
    </sheetView>
  </sheetViews>
  <sheetFormatPr defaultRowHeight="15" x14ac:dyDescent="0.25"/>
  <cols>
    <col min="2" max="2" width="11.28515625" customWidth="1"/>
    <col min="4" max="4" width="10.5703125" bestFit="1" customWidth="1"/>
    <col min="5" max="5" width="11.5703125" bestFit="1" customWidth="1"/>
  </cols>
  <sheetData>
    <row r="1" spans="1:5" x14ac:dyDescent="0.25">
      <c r="A1" s="5">
        <f>Summary!B5</f>
        <v>30490</v>
      </c>
      <c r="B1" s="1" t="str">
        <f>Summary!C5</f>
        <v xml:space="preserve">Director's Residence (Gray House) - Tank # 613241   </v>
      </c>
    </row>
    <row r="3" spans="1:5" ht="25.5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0</v>
      </c>
      <c r="D4" s="57">
        <v>0</v>
      </c>
      <c r="E4" s="57"/>
    </row>
    <row r="5" spans="1:5" x14ac:dyDescent="0.25">
      <c r="B5" s="12">
        <v>41061</v>
      </c>
      <c r="C5" s="69">
        <f t="shared" ref="C5:C68" si="0">IF(E5&gt;0,E5/D5,0)</f>
        <v>0</v>
      </c>
      <c r="D5" s="57">
        <v>0</v>
      </c>
      <c r="E5" s="57"/>
    </row>
    <row r="6" spans="1:5" x14ac:dyDescent="0.25">
      <c r="B6" s="12">
        <v>41030</v>
      </c>
      <c r="C6" s="69">
        <f t="shared" si="0"/>
        <v>0</v>
      </c>
      <c r="D6" s="57">
        <v>0</v>
      </c>
      <c r="E6" s="57"/>
    </row>
    <row r="7" spans="1:5" x14ac:dyDescent="0.25">
      <c r="B7" s="12">
        <v>41000</v>
      </c>
      <c r="C7" s="69">
        <f t="shared" si="0"/>
        <v>2.2989634478996179</v>
      </c>
      <c r="D7" s="57">
        <v>183.3</v>
      </c>
      <c r="E7" s="57">
        <v>421.4</v>
      </c>
    </row>
    <row r="8" spans="1:5" x14ac:dyDescent="0.25">
      <c r="B8" s="12">
        <v>40969</v>
      </c>
      <c r="C8" s="69">
        <f t="shared" si="0"/>
        <v>0</v>
      </c>
      <c r="D8" s="57">
        <v>0</v>
      </c>
      <c r="E8" s="57"/>
    </row>
    <row r="9" spans="1:5" x14ac:dyDescent="0.25">
      <c r="B9" s="12">
        <v>40940</v>
      </c>
      <c r="C9" s="69">
        <f t="shared" si="0"/>
        <v>2.2990035169988277</v>
      </c>
      <c r="D9" s="57">
        <v>170.6</v>
      </c>
      <c r="E9" s="57">
        <v>392.21</v>
      </c>
    </row>
    <row r="10" spans="1:5" x14ac:dyDescent="0.25">
      <c r="B10" s="12">
        <v>40909</v>
      </c>
      <c r="C10" s="69">
        <f t="shared" si="0"/>
        <v>2.2989898989898991</v>
      </c>
      <c r="D10" s="57">
        <v>178.2</v>
      </c>
      <c r="E10" s="57">
        <v>409.68</v>
      </c>
    </row>
    <row r="11" spans="1:5" x14ac:dyDescent="0.25">
      <c r="B11" s="12">
        <v>40878</v>
      </c>
      <c r="C11" s="69">
        <f t="shared" si="0"/>
        <v>2.2989824759751269</v>
      </c>
      <c r="D11" s="57">
        <v>176.9</v>
      </c>
      <c r="E11" s="57">
        <v>406.69</v>
      </c>
    </row>
    <row r="12" spans="1:5" x14ac:dyDescent="0.25">
      <c r="B12" s="12">
        <v>40848</v>
      </c>
      <c r="C12" s="69">
        <f t="shared" si="0"/>
        <v>0</v>
      </c>
      <c r="D12" s="57">
        <v>0</v>
      </c>
      <c r="E12" s="57"/>
    </row>
    <row r="13" spans="1:5" x14ac:dyDescent="0.25">
      <c r="B13" s="12">
        <v>40817</v>
      </c>
      <c r="C13" s="69">
        <f t="shared" si="0"/>
        <v>2.2989921612541995</v>
      </c>
      <c r="D13" s="57">
        <v>89.3</v>
      </c>
      <c r="E13" s="57">
        <v>205.3</v>
      </c>
    </row>
    <row r="14" spans="1:5" x14ac:dyDescent="0.25">
      <c r="B14" s="12">
        <v>40787</v>
      </c>
      <c r="C14" s="69">
        <f t="shared" si="0"/>
        <v>0</v>
      </c>
      <c r="D14" s="57">
        <v>0</v>
      </c>
      <c r="E14" s="57"/>
    </row>
    <row r="15" spans="1:5" x14ac:dyDescent="0.25">
      <c r="B15" s="12">
        <v>40756</v>
      </c>
      <c r="C15" s="69">
        <f t="shared" si="0"/>
        <v>1.9990176817288803</v>
      </c>
      <c r="D15" s="57">
        <v>101.8</v>
      </c>
      <c r="E15" s="57">
        <v>203.5</v>
      </c>
    </row>
    <row r="16" spans="1:5" x14ac:dyDescent="0.25">
      <c r="B16" s="12">
        <v>40725</v>
      </c>
      <c r="C16" s="69">
        <f t="shared" si="0"/>
        <v>0</v>
      </c>
      <c r="D16" s="57">
        <v>0</v>
      </c>
      <c r="E16" s="57"/>
    </row>
    <row r="17" spans="2:5" x14ac:dyDescent="0.25">
      <c r="B17" s="12">
        <v>40695</v>
      </c>
      <c r="C17" s="69">
        <f t="shared" si="0"/>
        <v>1.9990502035278155</v>
      </c>
      <c r="D17" s="57">
        <v>73.7</v>
      </c>
      <c r="E17" s="57">
        <v>147.33000000000001</v>
      </c>
    </row>
    <row r="18" spans="2:5" x14ac:dyDescent="0.25">
      <c r="B18" s="12">
        <v>40664</v>
      </c>
      <c r="C18" s="69">
        <f t="shared" si="0"/>
        <v>0</v>
      </c>
      <c r="D18" s="57">
        <v>0</v>
      </c>
      <c r="E18" s="57"/>
    </row>
    <row r="19" spans="2:5" x14ac:dyDescent="0.25">
      <c r="B19" s="12">
        <v>40634</v>
      </c>
      <c r="C19" s="69">
        <f t="shared" si="0"/>
        <v>1.9990013315579229</v>
      </c>
      <c r="D19" s="57">
        <v>150.19999999999999</v>
      </c>
      <c r="E19" s="57">
        <v>300.25</v>
      </c>
    </row>
    <row r="20" spans="2:5" x14ac:dyDescent="0.25">
      <c r="B20" s="12">
        <v>40603</v>
      </c>
      <c r="C20" s="69">
        <f t="shared" si="0"/>
        <v>0</v>
      </c>
      <c r="D20" s="57">
        <v>0</v>
      </c>
      <c r="E20" s="57"/>
    </row>
    <row r="21" spans="2:5" x14ac:dyDescent="0.25">
      <c r="B21" s="12">
        <v>40575</v>
      </c>
      <c r="C21" s="69">
        <f t="shared" si="0"/>
        <v>1.9990013774104685</v>
      </c>
      <c r="D21" s="72">
        <f>128.1+162.3</f>
        <v>290.39999999999998</v>
      </c>
      <c r="E21" s="72">
        <f>256.07+324.44</f>
        <v>580.51</v>
      </c>
    </row>
    <row r="22" spans="2:5" x14ac:dyDescent="0.25">
      <c r="B22" s="12">
        <v>40544</v>
      </c>
      <c r="C22" s="69">
        <f t="shared" si="0"/>
        <v>1.9989778534923339</v>
      </c>
      <c r="D22" s="72">
        <v>176.1</v>
      </c>
      <c r="E22" s="72">
        <v>352.02</v>
      </c>
    </row>
    <row r="23" spans="2:5" x14ac:dyDescent="0.25">
      <c r="B23" s="12">
        <v>40513</v>
      </c>
      <c r="C23" s="69">
        <f t="shared" si="0"/>
        <v>1.9990018148820325</v>
      </c>
      <c r="D23" s="72">
        <v>110.2</v>
      </c>
      <c r="E23" s="72">
        <v>220.29</v>
      </c>
    </row>
    <row r="24" spans="2:5" x14ac:dyDescent="0.25">
      <c r="B24" s="12">
        <v>40483</v>
      </c>
      <c r="C24" s="69">
        <f t="shared" si="0"/>
        <v>1.9990384615384615</v>
      </c>
      <c r="D24" s="72">
        <v>104</v>
      </c>
      <c r="E24" s="72">
        <v>207.9</v>
      </c>
    </row>
    <row r="25" spans="2:5" x14ac:dyDescent="0.25">
      <c r="B25" s="12">
        <v>40452</v>
      </c>
      <c r="C25" s="69">
        <f t="shared" si="0"/>
        <v>0</v>
      </c>
      <c r="D25" s="72">
        <v>0</v>
      </c>
      <c r="E25" s="72"/>
    </row>
    <row r="26" spans="2:5" x14ac:dyDescent="0.25">
      <c r="B26" s="12">
        <v>40422</v>
      </c>
      <c r="C26" s="69">
        <f t="shared" si="0"/>
        <v>1.9989785495403471</v>
      </c>
      <c r="D26" s="72">
        <v>97.9</v>
      </c>
      <c r="E26" s="72">
        <v>195.7</v>
      </c>
    </row>
    <row r="27" spans="2:5" x14ac:dyDescent="0.25">
      <c r="B27" s="12">
        <v>40391</v>
      </c>
      <c r="C27" s="69">
        <f t="shared" si="0"/>
        <v>0</v>
      </c>
      <c r="D27" s="72">
        <v>0</v>
      </c>
      <c r="E27" s="72"/>
    </row>
    <row r="28" spans="2:5" x14ac:dyDescent="0.25">
      <c r="B28" s="12">
        <v>40360</v>
      </c>
      <c r="C28" s="69">
        <f t="shared" si="0"/>
        <v>1.9990464839094158</v>
      </c>
      <c r="D28" s="72">
        <v>83.9</v>
      </c>
      <c r="E28" s="72">
        <v>167.72</v>
      </c>
    </row>
    <row r="29" spans="2:5" x14ac:dyDescent="0.25">
      <c r="B29" s="12">
        <v>40330</v>
      </c>
      <c r="C29" s="69">
        <f t="shared" si="0"/>
        <v>0</v>
      </c>
      <c r="D29" s="72">
        <v>0</v>
      </c>
      <c r="E29" s="72"/>
    </row>
    <row r="30" spans="2:5" x14ac:dyDescent="0.25">
      <c r="B30" s="12">
        <v>40299</v>
      </c>
      <c r="C30" s="69">
        <f t="shared" si="0"/>
        <v>0</v>
      </c>
      <c r="D30" s="72">
        <v>0</v>
      </c>
      <c r="E30" s="72"/>
    </row>
    <row r="31" spans="2:5" x14ac:dyDescent="0.25">
      <c r="B31" s="12">
        <v>40269</v>
      </c>
      <c r="C31" s="69">
        <f t="shared" si="0"/>
        <v>1.7990157480314961</v>
      </c>
      <c r="D31" s="72">
        <v>152.4</v>
      </c>
      <c r="E31" s="72">
        <v>274.17</v>
      </c>
    </row>
    <row r="32" spans="2:5" x14ac:dyDescent="0.25">
      <c r="B32" s="12">
        <v>40238</v>
      </c>
      <c r="C32" s="69">
        <f t="shared" si="0"/>
        <v>1.7990000000000002</v>
      </c>
      <c r="D32" s="72">
        <v>100</v>
      </c>
      <c r="E32" s="72">
        <v>179.9</v>
      </c>
    </row>
    <row r="33" spans="2:5" x14ac:dyDescent="0.25">
      <c r="B33" s="12">
        <v>40210</v>
      </c>
      <c r="C33" s="69">
        <f t="shared" si="0"/>
        <v>1.7989915966386556</v>
      </c>
      <c r="D33" s="72">
        <v>119</v>
      </c>
      <c r="E33" s="72">
        <v>214.08</v>
      </c>
    </row>
    <row r="34" spans="2:5" x14ac:dyDescent="0.25">
      <c r="B34" s="12">
        <v>40179</v>
      </c>
      <c r="C34" s="69">
        <f t="shared" si="0"/>
        <v>1.7990161630358397</v>
      </c>
      <c r="D34" s="72">
        <v>142.30000000000001</v>
      </c>
      <c r="E34" s="72">
        <v>256</v>
      </c>
    </row>
    <row r="35" spans="2:5" x14ac:dyDescent="0.25">
      <c r="B35" s="12">
        <v>40148</v>
      </c>
      <c r="C35" s="69">
        <f t="shared" si="0"/>
        <v>1.799012987012987</v>
      </c>
      <c r="D35" s="72">
        <v>192.5</v>
      </c>
      <c r="E35" s="72">
        <v>346.31</v>
      </c>
    </row>
    <row r="36" spans="2:5" x14ac:dyDescent="0.25">
      <c r="B36" s="12">
        <v>40118</v>
      </c>
      <c r="C36" s="69">
        <f t="shared" si="0"/>
        <v>1.7990202482037885</v>
      </c>
      <c r="D36" s="72">
        <v>153.1</v>
      </c>
      <c r="E36" s="72">
        <v>275.43</v>
      </c>
    </row>
    <row r="37" spans="2:5" x14ac:dyDescent="0.25">
      <c r="B37" s="12">
        <v>40087</v>
      </c>
      <c r="C37" s="69">
        <f t="shared" si="0"/>
        <v>0</v>
      </c>
      <c r="D37" s="72">
        <v>0</v>
      </c>
      <c r="E37" s="72"/>
    </row>
    <row r="38" spans="2:5" x14ac:dyDescent="0.25">
      <c r="B38" s="12">
        <v>40057</v>
      </c>
      <c r="C38" s="69">
        <f t="shared" si="0"/>
        <v>1.7989832970225128</v>
      </c>
      <c r="D38" s="72">
        <v>137.69999999999999</v>
      </c>
      <c r="E38" s="72">
        <v>247.72</v>
      </c>
    </row>
    <row r="39" spans="2:5" x14ac:dyDescent="0.25">
      <c r="B39" s="12">
        <v>40026</v>
      </c>
      <c r="C39" s="69">
        <f t="shared" si="0"/>
        <v>0</v>
      </c>
      <c r="D39" s="72">
        <v>0</v>
      </c>
      <c r="E39" s="72"/>
    </row>
    <row r="40" spans="2:5" x14ac:dyDescent="0.25">
      <c r="B40" s="12">
        <v>39995</v>
      </c>
      <c r="C40" s="69">
        <f t="shared" si="0"/>
        <v>0</v>
      </c>
      <c r="D40" s="72">
        <v>0</v>
      </c>
      <c r="E40" s="72"/>
    </row>
    <row r="41" spans="2:5" x14ac:dyDescent="0.25">
      <c r="B41" s="12">
        <v>39965</v>
      </c>
      <c r="C41" s="69">
        <f t="shared" si="0"/>
        <v>1.699009083402147</v>
      </c>
      <c r="D41" s="72">
        <v>121.1</v>
      </c>
      <c r="E41" s="72">
        <v>205.75</v>
      </c>
    </row>
    <row r="42" spans="2:5" x14ac:dyDescent="0.25">
      <c r="B42" s="12">
        <v>39934</v>
      </c>
      <c r="C42" s="69">
        <f t="shared" si="0"/>
        <v>0</v>
      </c>
      <c r="D42" s="72">
        <v>0</v>
      </c>
      <c r="E42" s="72"/>
    </row>
    <row r="43" spans="2:5" x14ac:dyDescent="0.25">
      <c r="B43" s="12">
        <v>39904</v>
      </c>
      <c r="C43" s="69">
        <f t="shared" si="0"/>
        <v>0</v>
      </c>
      <c r="D43" s="72">
        <v>0</v>
      </c>
      <c r="E43" s="72"/>
    </row>
    <row r="44" spans="2:5" x14ac:dyDescent="0.25">
      <c r="B44" s="12">
        <v>39873</v>
      </c>
      <c r="C44" s="69">
        <f t="shared" si="0"/>
        <v>1.998959236773634</v>
      </c>
      <c r="D44" s="72">
        <v>115.3</v>
      </c>
      <c r="E44" s="72">
        <v>230.48</v>
      </c>
    </row>
    <row r="45" spans="2:5" x14ac:dyDescent="0.25">
      <c r="B45" s="12">
        <v>39845</v>
      </c>
      <c r="C45" s="69">
        <f t="shared" si="0"/>
        <v>2.356086828982106</v>
      </c>
      <c r="D45" s="72">
        <f>121.8+219.1</f>
        <v>340.9</v>
      </c>
      <c r="E45" s="72">
        <f>255.66+547.53</f>
        <v>803.18999999999994</v>
      </c>
    </row>
    <row r="46" spans="2:5" x14ac:dyDescent="0.25">
      <c r="B46" s="12">
        <v>39814</v>
      </c>
      <c r="C46" s="69">
        <f t="shared" si="0"/>
        <v>2.4990191270230504</v>
      </c>
      <c r="D46" s="72">
        <v>203.9</v>
      </c>
      <c r="E46" s="72">
        <v>509.55</v>
      </c>
    </row>
    <row r="47" spans="2:5" x14ac:dyDescent="0.25">
      <c r="B47" s="12">
        <v>39783</v>
      </c>
      <c r="C47" s="69">
        <f t="shared" si="0"/>
        <v>2.4989747634069404</v>
      </c>
      <c r="D47" s="72">
        <v>126.8</v>
      </c>
      <c r="E47" s="72">
        <v>316.87</v>
      </c>
    </row>
    <row r="48" spans="2:5" x14ac:dyDescent="0.25">
      <c r="B48" s="12">
        <v>39753</v>
      </c>
      <c r="C48" s="69">
        <f t="shared" si="0"/>
        <v>2.4989431968295901</v>
      </c>
      <c r="D48" s="72">
        <v>75.7</v>
      </c>
      <c r="E48" s="72">
        <v>189.17</v>
      </c>
    </row>
    <row r="49" spans="2:5" x14ac:dyDescent="0.25">
      <c r="B49" s="12">
        <v>39722</v>
      </c>
      <c r="C49" s="69">
        <f t="shared" si="0"/>
        <v>0</v>
      </c>
      <c r="D49" s="72">
        <v>0</v>
      </c>
      <c r="E49" s="72"/>
    </row>
    <row r="50" spans="2:5" x14ac:dyDescent="0.25">
      <c r="B50" s="12">
        <v>39692</v>
      </c>
      <c r="C50" s="69">
        <f t="shared" si="0"/>
        <v>2.4989547038327524</v>
      </c>
      <c r="D50" s="72">
        <v>57.4</v>
      </c>
      <c r="E50" s="72">
        <v>143.44</v>
      </c>
    </row>
    <row r="51" spans="2:5" x14ac:dyDescent="0.25">
      <c r="B51" s="12">
        <v>39661</v>
      </c>
      <c r="C51" s="69">
        <f t="shared" si="0"/>
        <v>0</v>
      </c>
      <c r="D51" s="72">
        <v>0</v>
      </c>
      <c r="E51" s="72"/>
    </row>
    <row r="52" spans="2:5" x14ac:dyDescent="0.25">
      <c r="B52" s="12">
        <v>39630</v>
      </c>
      <c r="C52" s="69">
        <f t="shared" si="0"/>
        <v>2.4989979959919841</v>
      </c>
      <c r="D52" s="72">
        <v>99.8</v>
      </c>
      <c r="E52" s="72">
        <v>249.4</v>
      </c>
    </row>
    <row r="53" spans="2:5" x14ac:dyDescent="0.25">
      <c r="B53" s="12">
        <v>39600</v>
      </c>
      <c r="C53" s="69">
        <f t="shared" si="0"/>
        <v>0</v>
      </c>
      <c r="D53" s="72">
        <v>0</v>
      </c>
      <c r="E53" s="72"/>
    </row>
    <row r="54" spans="2:5" x14ac:dyDescent="0.25">
      <c r="B54" s="12">
        <v>39569</v>
      </c>
      <c r="C54" s="69">
        <f t="shared" si="0"/>
        <v>1.9989999999999999</v>
      </c>
      <c r="D54" s="72">
        <v>110</v>
      </c>
      <c r="E54" s="72">
        <v>219.89</v>
      </c>
    </row>
    <row r="55" spans="2:5" x14ac:dyDescent="0.25">
      <c r="B55" s="12">
        <v>39539</v>
      </c>
      <c r="C55" s="69">
        <f t="shared" si="0"/>
        <v>0</v>
      </c>
      <c r="D55" s="72">
        <v>0</v>
      </c>
      <c r="E55" s="72"/>
    </row>
    <row r="56" spans="2:5" x14ac:dyDescent="0.25">
      <c r="B56" s="12">
        <v>39508</v>
      </c>
      <c r="C56" s="69">
        <f t="shared" si="0"/>
        <v>1.9990229885057471</v>
      </c>
      <c r="D56" s="72">
        <v>174</v>
      </c>
      <c r="E56" s="72">
        <v>347.83</v>
      </c>
    </row>
    <row r="57" spans="2:5" x14ac:dyDescent="0.25">
      <c r="B57" s="12">
        <v>39479</v>
      </c>
      <c r="C57" s="69">
        <f t="shared" si="0"/>
        <v>1.9990000000000001</v>
      </c>
      <c r="D57" s="72">
        <v>200</v>
      </c>
      <c r="E57" s="72">
        <v>399.8</v>
      </c>
    </row>
    <row r="58" spans="2:5" x14ac:dyDescent="0.25">
      <c r="B58" s="12">
        <v>39448</v>
      </c>
      <c r="C58" s="69">
        <f t="shared" si="0"/>
        <v>1.9989814814814812</v>
      </c>
      <c r="D58" s="72">
        <v>216</v>
      </c>
      <c r="E58" s="72">
        <v>431.78</v>
      </c>
    </row>
    <row r="59" spans="2:5" x14ac:dyDescent="0.25">
      <c r="B59" s="12">
        <v>39417</v>
      </c>
      <c r="C59" s="69">
        <f t="shared" si="0"/>
        <v>0</v>
      </c>
      <c r="D59" s="72">
        <v>0</v>
      </c>
      <c r="E59" s="72"/>
    </row>
    <row r="60" spans="2:5" x14ac:dyDescent="0.25">
      <c r="B60" s="12">
        <v>39387</v>
      </c>
      <c r="C60" s="69">
        <f t="shared" si="0"/>
        <v>1.7490066225165564</v>
      </c>
      <c r="D60" s="72">
        <v>151</v>
      </c>
      <c r="E60" s="72">
        <v>264.10000000000002</v>
      </c>
    </row>
    <row r="61" spans="2:5" x14ac:dyDescent="0.25">
      <c r="B61" s="12">
        <v>39356</v>
      </c>
      <c r="C61" s="69">
        <f t="shared" si="0"/>
        <v>0</v>
      </c>
      <c r="D61" s="72">
        <v>0</v>
      </c>
      <c r="E61" s="72"/>
    </row>
    <row r="62" spans="2:5" x14ac:dyDescent="0.25">
      <c r="B62" s="12">
        <v>39326</v>
      </c>
      <c r="C62" s="69">
        <f t="shared" si="0"/>
        <v>0</v>
      </c>
      <c r="D62" s="72">
        <v>0</v>
      </c>
      <c r="E62" s="72"/>
    </row>
    <row r="63" spans="2:5" x14ac:dyDescent="0.25">
      <c r="B63" s="12">
        <v>39295</v>
      </c>
      <c r="C63" s="69">
        <f t="shared" si="0"/>
        <v>1.748953488372093</v>
      </c>
      <c r="D63" s="72">
        <v>86</v>
      </c>
      <c r="E63" s="72">
        <v>150.41</v>
      </c>
    </row>
    <row r="64" spans="2:5" x14ac:dyDescent="0.25">
      <c r="B64" s="12">
        <v>39264</v>
      </c>
      <c r="C64" s="69">
        <f t="shared" si="0"/>
        <v>1.648989898989899</v>
      </c>
      <c r="D64" s="72">
        <v>99</v>
      </c>
      <c r="E64" s="72">
        <v>163.25</v>
      </c>
    </row>
    <row r="65" spans="2:5" x14ac:dyDescent="0.25">
      <c r="B65" s="12">
        <v>39234</v>
      </c>
      <c r="C65" s="69">
        <f t="shared" si="0"/>
        <v>0</v>
      </c>
      <c r="D65" s="72">
        <v>0</v>
      </c>
      <c r="E65" s="72"/>
    </row>
    <row r="66" spans="2:5" x14ac:dyDescent="0.25">
      <c r="B66" s="12">
        <v>39203</v>
      </c>
      <c r="C66" s="69">
        <f t="shared" si="0"/>
        <v>0</v>
      </c>
      <c r="D66" s="72">
        <v>0</v>
      </c>
      <c r="E66" s="72"/>
    </row>
    <row r="67" spans="2:5" x14ac:dyDescent="0.25">
      <c r="B67" s="12">
        <v>39173</v>
      </c>
      <c r="C67" s="69">
        <f t="shared" si="0"/>
        <v>1.6490243902439023</v>
      </c>
      <c r="D67" s="72">
        <v>82</v>
      </c>
      <c r="E67" s="72">
        <v>135.22</v>
      </c>
    </row>
    <row r="68" spans="2:5" x14ac:dyDescent="0.25">
      <c r="B68" s="12">
        <v>39142</v>
      </c>
      <c r="C68" s="69">
        <f t="shared" si="0"/>
        <v>1.6490094339622641</v>
      </c>
      <c r="D68" s="72">
        <v>212</v>
      </c>
      <c r="E68" s="72">
        <v>349.59</v>
      </c>
    </row>
    <row r="69" spans="2:5" x14ac:dyDescent="0.25">
      <c r="B69" s="12">
        <v>39114</v>
      </c>
      <c r="C69" s="69">
        <f t="shared" ref="C69:C70" si="1">IF(E69&gt;0,E69/D69,0)</f>
        <v>1.6490068493150685</v>
      </c>
      <c r="D69" s="72">
        <v>292</v>
      </c>
      <c r="E69" s="72">
        <v>481.51</v>
      </c>
    </row>
    <row r="70" spans="2:5" x14ac:dyDescent="0.25">
      <c r="B70" s="12">
        <v>39083</v>
      </c>
      <c r="C70" s="69">
        <f t="shared" si="1"/>
        <v>0</v>
      </c>
      <c r="D70" s="72">
        <v>0</v>
      </c>
      <c r="E70" s="72"/>
    </row>
    <row r="72" spans="2:5" x14ac:dyDescent="0.25">
      <c r="B72" s="10" t="s">
        <v>6</v>
      </c>
      <c r="D72" s="28">
        <f>SUM(D4:D70)</f>
        <v>5746.4</v>
      </c>
      <c r="E72" s="3">
        <f>SUM(E4:E70)</f>
        <v>11595.339999999998</v>
      </c>
    </row>
  </sheetData>
  <hyperlinks>
    <hyperlink ref="A1" location="a34098369" display="a34098369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.140625" bestFit="1" customWidth="1"/>
    <col min="3" max="4" width="9.28515625" bestFit="1" customWidth="1"/>
    <col min="5" max="5" width="11.5703125" bestFit="1" customWidth="1"/>
    <col min="11" max="11" width="10.7109375" bestFit="1" customWidth="1"/>
  </cols>
  <sheetData>
    <row r="1" spans="1:5" x14ac:dyDescent="0.25">
      <c r="A1" s="5">
        <v>30491</v>
      </c>
      <c r="B1" s="2" t="str">
        <f>Summary!C6</f>
        <v>569090: 613151   S 9 &amp; 10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0</v>
      </c>
      <c r="D4" s="57">
        <v>0</v>
      </c>
      <c r="E4" s="57"/>
    </row>
    <row r="5" spans="1:5" x14ac:dyDescent="0.25">
      <c r="B5" s="12">
        <v>41061</v>
      </c>
      <c r="C5" s="69">
        <f t="shared" ref="C5:C68" si="0">IF(E5&gt;0,E5/D5,0)</f>
        <v>2.2989978213507625</v>
      </c>
      <c r="D5" s="57">
        <v>229.5</v>
      </c>
      <c r="E5" s="57">
        <v>527.62</v>
      </c>
    </row>
    <row r="6" spans="1:5" x14ac:dyDescent="0.25">
      <c r="B6" s="12">
        <v>41030</v>
      </c>
      <c r="C6" s="69">
        <f t="shared" si="0"/>
        <v>2.2989919354838708</v>
      </c>
      <c r="D6" s="57">
        <v>248</v>
      </c>
      <c r="E6" s="57">
        <v>570.15</v>
      </c>
    </row>
    <row r="7" spans="1:5" x14ac:dyDescent="0.25">
      <c r="B7" s="12">
        <v>41000</v>
      </c>
      <c r="C7" s="69">
        <f t="shared" si="0"/>
        <v>2.2989942528735634</v>
      </c>
      <c r="D7" s="57">
        <v>904.8</v>
      </c>
      <c r="E7" s="57">
        <v>2080.13</v>
      </c>
    </row>
    <row r="8" spans="1:5" x14ac:dyDescent="0.25">
      <c r="B8" s="12">
        <v>40969</v>
      </c>
      <c r="C8" s="69">
        <f t="shared" si="0"/>
        <v>0</v>
      </c>
      <c r="D8" s="57">
        <v>0</v>
      </c>
      <c r="E8" s="57"/>
    </row>
    <row r="9" spans="1:5" x14ac:dyDescent="0.25">
      <c r="B9" s="12">
        <v>40940</v>
      </c>
      <c r="C9" s="69">
        <f t="shared" si="0"/>
        <v>0</v>
      </c>
      <c r="D9" s="57">
        <v>0</v>
      </c>
      <c r="E9" s="57"/>
    </row>
    <row r="10" spans="1:5" x14ac:dyDescent="0.25">
      <c r="B10" s="12">
        <v>40909</v>
      </c>
      <c r="C10" s="69">
        <f t="shared" si="0"/>
        <v>0</v>
      </c>
      <c r="D10" s="57">
        <v>0</v>
      </c>
      <c r="E10" s="57"/>
    </row>
    <row r="11" spans="1:5" x14ac:dyDescent="0.25">
      <c r="B11" s="12">
        <v>40878</v>
      </c>
      <c r="C11" s="69">
        <f t="shared" si="0"/>
        <v>0</v>
      </c>
      <c r="D11" s="57">
        <v>0</v>
      </c>
      <c r="E11" s="57"/>
    </row>
    <row r="12" spans="1:5" x14ac:dyDescent="0.25">
      <c r="B12" s="12">
        <v>40848</v>
      </c>
      <c r="C12" s="69">
        <f t="shared" si="0"/>
        <v>2.2989862850327971</v>
      </c>
      <c r="D12" s="57">
        <v>335.4</v>
      </c>
      <c r="E12" s="57">
        <v>771.08</v>
      </c>
    </row>
    <row r="13" spans="1:5" x14ac:dyDescent="0.25">
      <c r="B13" s="12">
        <v>40817</v>
      </c>
      <c r="C13" s="69">
        <f t="shared" si="0"/>
        <v>0</v>
      </c>
      <c r="D13" s="57">
        <v>0</v>
      </c>
      <c r="E13" s="57"/>
    </row>
    <row r="14" spans="1:5" x14ac:dyDescent="0.25">
      <c r="B14" s="12">
        <v>40787</v>
      </c>
      <c r="C14" s="69">
        <f t="shared" si="0"/>
        <v>0</v>
      </c>
      <c r="D14" s="57">
        <v>0</v>
      </c>
      <c r="E14" s="57"/>
    </row>
    <row r="15" spans="1:5" x14ac:dyDescent="0.25">
      <c r="B15" s="12">
        <v>40756</v>
      </c>
      <c r="C15" s="69">
        <f t="shared" si="0"/>
        <v>1.9989866234292664</v>
      </c>
      <c r="D15" s="57">
        <v>246.7</v>
      </c>
      <c r="E15" s="57">
        <v>493.15</v>
      </c>
    </row>
    <row r="16" spans="1:5" x14ac:dyDescent="0.25">
      <c r="B16" s="12">
        <v>40725</v>
      </c>
      <c r="C16" s="69">
        <f t="shared" si="0"/>
        <v>1.9990047598442235</v>
      </c>
      <c r="D16" s="57">
        <v>231.1</v>
      </c>
      <c r="E16" s="57">
        <v>461.97</v>
      </c>
    </row>
    <row r="17" spans="2:11" x14ac:dyDescent="0.25">
      <c r="B17" s="12">
        <v>40695</v>
      </c>
      <c r="C17" s="69">
        <f t="shared" si="0"/>
        <v>1.9989855072463769</v>
      </c>
      <c r="D17" s="57">
        <v>207</v>
      </c>
      <c r="E17" s="57">
        <v>413.79</v>
      </c>
    </row>
    <row r="18" spans="2:11" x14ac:dyDescent="0.25">
      <c r="B18" s="12">
        <v>40664</v>
      </c>
      <c r="C18" s="69">
        <f t="shared" si="0"/>
        <v>0</v>
      </c>
      <c r="D18" s="57">
        <v>0</v>
      </c>
      <c r="E18" s="57"/>
    </row>
    <row r="19" spans="2:11" x14ac:dyDescent="0.25">
      <c r="B19" s="12">
        <v>40634</v>
      </c>
      <c r="C19" s="69">
        <f t="shared" si="0"/>
        <v>0</v>
      </c>
      <c r="D19" s="57">
        <v>0</v>
      </c>
      <c r="E19" s="57"/>
    </row>
    <row r="20" spans="2:11" x14ac:dyDescent="0.25">
      <c r="B20" s="12">
        <v>40603</v>
      </c>
      <c r="C20" s="69">
        <f t="shared" si="0"/>
        <v>0</v>
      </c>
      <c r="D20" s="57">
        <v>0</v>
      </c>
      <c r="E20" s="57"/>
      <c r="G20" s="6"/>
      <c r="I20" s="6"/>
      <c r="K20" s="7"/>
    </row>
    <row r="21" spans="2:11" x14ac:dyDescent="0.25">
      <c r="B21" s="12">
        <v>40575</v>
      </c>
      <c r="C21" s="69">
        <f t="shared" si="0"/>
        <v>0</v>
      </c>
      <c r="D21" s="73">
        <v>0</v>
      </c>
      <c r="E21" s="73"/>
      <c r="G21" s="6"/>
      <c r="I21" s="6"/>
      <c r="K21" s="7"/>
    </row>
    <row r="22" spans="2:11" x14ac:dyDescent="0.25">
      <c r="B22" s="12">
        <v>40544</v>
      </c>
      <c r="C22" s="69">
        <f t="shared" si="0"/>
        <v>1.9990101732196865</v>
      </c>
      <c r="D22" s="73">
        <v>363.7</v>
      </c>
      <c r="E22" s="73">
        <v>727.04</v>
      </c>
      <c r="G22" s="6"/>
      <c r="I22" s="6"/>
      <c r="K22" s="7"/>
    </row>
    <row r="23" spans="2:11" x14ac:dyDescent="0.25">
      <c r="B23" s="12">
        <v>40513</v>
      </c>
      <c r="C23" s="69">
        <f t="shared" si="0"/>
        <v>0</v>
      </c>
      <c r="D23" s="73">
        <v>0</v>
      </c>
      <c r="E23" s="73"/>
      <c r="G23" s="6"/>
      <c r="I23" s="6"/>
      <c r="K23" s="7"/>
    </row>
    <row r="24" spans="2:11" x14ac:dyDescent="0.25">
      <c r="B24" s="12">
        <v>40483</v>
      </c>
      <c r="C24" s="69">
        <f t="shared" si="0"/>
        <v>0</v>
      </c>
      <c r="D24" s="73">
        <v>0</v>
      </c>
      <c r="E24" s="73"/>
      <c r="G24" s="6"/>
      <c r="I24" s="6"/>
      <c r="K24" s="7"/>
    </row>
    <row r="25" spans="2:11" x14ac:dyDescent="0.25">
      <c r="B25" s="12">
        <v>40452</v>
      </c>
      <c r="C25" s="69">
        <f t="shared" si="0"/>
        <v>1.9990345937248593</v>
      </c>
      <c r="D25" s="73">
        <v>124.3</v>
      </c>
      <c r="E25" s="73">
        <v>248.48</v>
      </c>
      <c r="G25" s="6"/>
      <c r="I25" s="6"/>
      <c r="K25" s="7"/>
    </row>
    <row r="26" spans="2:11" x14ac:dyDescent="0.25">
      <c r="B26" s="12">
        <v>40422</v>
      </c>
      <c r="C26" s="69">
        <f t="shared" si="0"/>
        <v>1.9990083230033644</v>
      </c>
      <c r="D26" s="73">
        <v>564.70000000000005</v>
      </c>
      <c r="E26" s="73">
        <v>1128.8399999999999</v>
      </c>
      <c r="G26" s="6"/>
      <c r="I26" s="6"/>
      <c r="K26" s="7"/>
    </row>
    <row r="27" spans="2:11" x14ac:dyDescent="0.25">
      <c r="B27" s="12">
        <v>40391</v>
      </c>
      <c r="C27" s="69">
        <f t="shared" si="0"/>
        <v>0</v>
      </c>
      <c r="D27" s="73">
        <v>0</v>
      </c>
      <c r="E27" s="73"/>
      <c r="G27" s="6"/>
      <c r="I27" s="6"/>
      <c r="K27" s="7"/>
    </row>
    <row r="28" spans="2:11" x14ac:dyDescent="0.25">
      <c r="B28" s="12">
        <v>40360</v>
      </c>
      <c r="C28" s="69">
        <f t="shared" si="0"/>
        <v>0</v>
      </c>
      <c r="D28" s="73">
        <v>0</v>
      </c>
      <c r="E28" s="73"/>
      <c r="G28" s="6"/>
      <c r="I28" s="6"/>
      <c r="K28" s="7"/>
    </row>
    <row r="29" spans="2:11" x14ac:dyDescent="0.25">
      <c r="B29" s="12">
        <v>40330</v>
      </c>
      <c r="C29" s="69">
        <f t="shared" si="0"/>
        <v>1.9990196078431373</v>
      </c>
      <c r="D29" s="73">
        <v>204</v>
      </c>
      <c r="E29" s="73">
        <v>407.8</v>
      </c>
      <c r="G29" s="6"/>
      <c r="I29" s="6"/>
      <c r="K29" s="7"/>
    </row>
    <row r="30" spans="2:11" x14ac:dyDescent="0.25">
      <c r="B30" s="12">
        <v>40299</v>
      </c>
      <c r="C30" s="69">
        <f t="shared" si="0"/>
        <v>1.7989661654135336</v>
      </c>
      <c r="D30" s="73">
        <v>106.4</v>
      </c>
      <c r="E30" s="73">
        <v>191.41</v>
      </c>
      <c r="G30" s="6"/>
      <c r="I30" s="6"/>
      <c r="K30" s="7"/>
    </row>
    <row r="31" spans="2:11" x14ac:dyDescent="0.25">
      <c r="B31" s="12">
        <v>40269</v>
      </c>
      <c r="C31" s="69">
        <f t="shared" si="0"/>
        <v>1.7989985693848354</v>
      </c>
      <c r="D31" s="73">
        <v>1048.5</v>
      </c>
      <c r="E31" s="73">
        <v>1886.25</v>
      </c>
      <c r="G31" s="6"/>
      <c r="I31" s="6"/>
      <c r="K31" s="7"/>
    </row>
    <row r="32" spans="2:11" x14ac:dyDescent="0.25">
      <c r="B32" s="12">
        <v>40238</v>
      </c>
      <c r="C32" s="69">
        <f t="shared" si="0"/>
        <v>0</v>
      </c>
      <c r="D32" s="73">
        <v>0</v>
      </c>
      <c r="E32" s="73"/>
      <c r="G32" s="6"/>
      <c r="I32" s="6"/>
      <c r="K32" s="7"/>
    </row>
    <row r="33" spans="2:11" x14ac:dyDescent="0.25">
      <c r="B33" s="12">
        <v>40210</v>
      </c>
      <c r="C33" s="69">
        <f t="shared" si="0"/>
        <v>0</v>
      </c>
      <c r="D33" s="73">
        <v>0</v>
      </c>
      <c r="E33" s="73"/>
      <c r="G33" s="6"/>
      <c r="I33" s="6"/>
      <c r="K33" s="7"/>
    </row>
    <row r="34" spans="2:11" x14ac:dyDescent="0.25">
      <c r="B34" s="12">
        <v>40179</v>
      </c>
      <c r="C34" s="69">
        <f t="shared" si="0"/>
        <v>0</v>
      </c>
      <c r="D34" s="73">
        <v>0</v>
      </c>
      <c r="E34" s="73"/>
      <c r="G34" s="6"/>
      <c r="I34" s="6"/>
      <c r="K34" s="7"/>
    </row>
    <row r="35" spans="2:11" x14ac:dyDescent="0.25">
      <c r="B35" s="12">
        <v>40148</v>
      </c>
      <c r="C35" s="69">
        <f t="shared" si="0"/>
        <v>0</v>
      </c>
      <c r="D35" s="73">
        <v>0</v>
      </c>
      <c r="E35" s="73"/>
      <c r="G35" s="6"/>
      <c r="I35" s="6"/>
      <c r="K35" s="7"/>
    </row>
    <row r="36" spans="2:11" x14ac:dyDescent="0.25">
      <c r="B36" s="12">
        <v>40118</v>
      </c>
      <c r="C36" s="69">
        <f t="shared" si="0"/>
        <v>0</v>
      </c>
      <c r="D36" s="73">
        <v>0</v>
      </c>
      <c r="E36" s="73"/>
      <c r="G36" s="6"/>
      <c r="I36" s="6"/>
      <c r="K36" s="7"/>
    </row>
    <row r="37" spans="2:11" x14ac:dyDescent="0.25">
      <c r="B37" s="12">
        <v>40087</v>
      </c>
      <c r="C37" s="69">
        <f t="shared" si="0"/>
        <v>0</v>
      </c>
      <c r="D37" s="73">
        <v>0</v>
      </c>
      <c r="E37" s="73"/>
      <c r="G37" s="6"/>
      <c r="I37" s="6"/>
      <c r="K37" s="7"/>
    </row>
    <row r="38" spans="2:11" x14ac:dyDescent="0.25">
      <c r="B38" s="12">
        <v>40057</v>
      </c>
      <c r="C38" s="69">
        <f t="shared" si="0"/>
        <v>1.7989921976592977</v>
      </c>
      <c r="D38" s="73">
        <v>307.60000000000002</v>
      </c>
      <c r="E38" s="73">
        <v>553.37</v>
      </c>
      <c r="G38" s="6"/>
      <c r="I38" s="6"/>
      <c r="K38" s="7"/>
    </row>
    <row r="39" spans="2:11" x14ac:dyDescent="0.25">
      <c r="B39" s="12">
        <v>40026</v>
      </c>
      <c r="C39" s="69">
        <f t="shared" si="0"/>
        <v>1.699009900990099</v>
      </c>
      <c r="D39" s="73">
        <v>383.8</v>
      </c>
      <c r="E39" s="73">
        <v>652.08000000000004</v>
      </c>
      <c r="G39" s="6"/>
      <c r="I39" s="6"/>
      <c r="K39" s="7"/>
    </row>
    <row r="40" spans="2:11" x14ac:dyDescent="0.25">
      <c r="B40" s="12">
        <v>39995</v>
      </c>
      <c r="C40" s="69">
        <f t="shared" si="0"/>
        <v>0</v>
      </c>
      <c r="D40" s="73">
        <v>0</v>
      </c>
      <c r="E40" s="73"/>
      <c r="G40" s="6"/>
      <c r="I40" s="6"/>
      <c r="K40" s="7"/>
    </row>
    <row r="41" spans="2:11" x14ac:dyDescent="0.25">
      <c r="B41" s="12">
        <v>39965</v>
      </c>
      <c r="C41" s="69">
        <f t="shared" si="0"/>
        <v>1.6989829277152197</v>
      </c>
      <c r="D41" s="73">
        <v>550.6</v>
      </c>
      <c r="E41" s="73">
        <v>935.46</v>
      </c>
      <c r="G41" s="6"/>
      <c r="I41" s="6"/>
      <c r="K41" s="7"/>
    </row>
    <row r="42" spans="2:11" x14ac:dyDescent="0.25">
      <c r="B42" s="12">
        <v>39934</v>
      </c>
      <c r="C42" s="69">
        <f t="shared" si="0"/>
        <v>0</v>
      </c>
      <c r="D42" s="73">
        <v>0</v>
      </c>
      <c r="E42" s="73"/>
      <c r="G42" s="6"/>
      <c r="I42" s="6"/>
      <c r="K42" s="7"/>
    </row>
    <row r="43" spans="2:11" x14ac:dyDescent="0.25">
      <c r="B43" s="12">
        <v>39904</v>
      </c>
      <c r="C43" s="69">
        <f t="shared" si="0"/>
        <v>0</v>
      </c>
      <c r="D43" s="73">
        <v>0</v>
      </c>
      <c r="E43" s="73"/>
      <c r="G43" s="6"/>
      <c r="I43" s="6"/>
      <c r="K43" s="7"/>
    </row>
    <row r="44" spans="2:11" x14ac:dyDescent="0.25">
      <c r="B44" s="12">
        <v>39873</v>
      </c>
      <c r="C44" s="69">
        <f t="shared" si="0"/>
        <v>0</v>
      </c>
      <c r="D44" s="73">
        <v>0</v>
      </c>
      <c r="E44" s="73"/>
      <c r="G44" s="6"/>
      <c r="I44" s="6"/>
      <c r="K44" s="7"/>
    </row>
    <row r="45" spans="2:11" x14ac:dyDescent="0.25">
      <c r="B45" s="12">
        <v>39845</v>
      </c>
      <c r="C45" s="69">
        <f t="shared" si="0"/>
        <v>2.4990060501296454</v>
      </c>
      <c r="D45" s="73">
        <v>462.8</v>
      </c>
      <c r="E45" s="73">
        <v>1156.54</v>
      </c>
      <c r="G45" s="6"/>
      <c r="I45" s="6"/>
      <c r="K45" s="7"/>
    </row>
    <row r="46" spans="2:11" x14ac:dyDescent="0.25">
      <c r="B46" s="12">
        <v>39814</v>
      </c>
      <c r="C46" s="69">
        <f t="shared" si="0"/>
        <v>0</v>
      </c>
      <c r="D46" s="73">
        <v>0</v>
      </c>
      <c r="E46" s="73"/>
      <c r="G46" s="6"/>
      <c r="I46" s="6"/>
      <c r="K46" s="7"/>
    </row>
    <row r="47" spans="2:11" x14ac:dyDescent="0.25">
      <c r="B47" s="12">
        <v>39783</v>
      </c>
      <c r="C47" s="69">
        <f t="shared" si="0"/>
        <v>0</v>
      </c>
      <c r="D47" s="73">
        <v>0</v>
      </c>
      <c r="E47" s="73"/>
      <c r="G47" s="6"/>
      <c r="I47" s="6"/>
      <c r="K47" s="7"/>
    </row>
    <row r="48" spans="2:11" x14ac:dyDescent="0.25">
      <c r="B48" s="12">
        <v>39753</v>
      </c>
      <c r="C48" s="69">
        <f t="shared" si="0"/>
        <v>0</v>
      </c>
      <c r="D48" s="73">
        <v>0</v>
      </c>
      <c r="E48" s="73"/>
      <c r="G48" s="6"/>
      <c r="I48" s="6"/>
      <c r="K48" s="7"/>
    </row>
    <row r="49" spans="2:11" x14ac:dyDescent="0.25">
      <c r="B49" s="12">
        <v>39722</v>
      </c>
      <c r="C49" s="69">
        <f t="shared" si="0"/>
        <v>0</v>
      </c>
      <c r="D49" s="73">
        <v>0</v>
      </c>
      <c r="E49" s="73"/>
      <c r="G49" s="6"/>
      <c r="I49" s="6"/>
      <c r="K49" s="7"/>
    </row>
    <row r="50" spans="2:11" x14ac:dyDescent="0.25">
      <c r="B50" s="12">
        <v>39692</v>
      </c>
      <c r="C50" s="69">
        <f t="shared" si="0"/>
        <v>2.4989817792068596</v>
      </c>
      <c r="D50" s="73">
        <v>186.6</v>
      </c>
      <c r="E50" s="73">
        <v>466.31</v>
      </c>
      <c r="G50" s="6"/>
      <c r="I50" s="6"/>
      <c r="K50" s="7"/>
    </row>
    <row r="51" spans="2:11" x14ac:dyDescent="0.25">
      <c r="B51" s="12">
        <v>39661</v>
      </c>
      <c r="C51" s="69">
        <f t="shared" si="0"/>
        <v>2.4989834337349395</v>
      </c>
      <c r="D51" s="73">
        <v>265.60000000000002</v>
      </c>
      <c r="E51" s="73">
        <v>663.73</v>
      </c>
      <c r="G51" s="6"/>
      <c r="I51" s="6"/>
      <c r="K51" s="7"/>
    </row>
    <row r="52" spans="2:11" x14ac:dyDescent="0.25">
      <c r="B52" s="12">
        <v>39630</v>
      </c>
      <c r="C52" s="69">
        <f t="shared" si="0"/>
        <v>2.4989975803664017</v>
      </c>
      <c r="D52" s="73">
        <v>289.3</v>
      </c>
      <c r="E52" s="73">
        <v>722.96</v>
      </c>
      <c r="G52" s="6"/>
      <c r="I52" s="6"/>
      <c r="K52" s="7"/>
    </row>
    <row r="53" spans="2:11" x14ac:dyDescent="0.25">
      <c r="B53" s="12">
        <v>39600</v>
      </c>
      <c r="C53" s="69">
        <f t="shared" si="0"/>
        <v>2.2489823874755381</v>
      </c>
      <c r="D53" s="73">
        <f>255.5+255.5</f>
        <v>511</v>
      </c>
      <c r="E53" s="73">
        <f>638.49+510.74</f>
        <v>1149.23</v>
      </c>
      <c r="G53" s="6"/>
      <c r="I53" s="6"/>
      <c r="K53" s="7"/>
    </row>
    <row r="54" spans="2:11" x14ac:dyDescent="0.25">
      <c r="B54" s="12">
        <v>39569</v>
      </c>
      <c r="C54" s="69">
        <f t="shared" si="0"/>
        <v>1.9989234449760764</v>
      </c>
      <c r="D54" s="73">
        <v>836</v>
      </c>
      <c r="E54" s="73">
        <v>1671.1</v>
      </c>
      <c r="G54" s="6"/>
      <c r="I54" s="6"/>
      <c r="K54" s="7"/>
    </row>
    <row r="55" spans="2:11" x14ac:dyDescent="0.25">
      <c r="B55" s="12">
        <v>39539</v>
      </c>
      <c r="C55" s="69">
        <f t="shared" si="0"/>
        <v>0</v>
      </c>
      <c r="D55" s="73">
        <v>0</v>
      </c>
      <c r="E55" s="73"/>
      <c r="G55" s="6"/>
      <c r="I55" s="6"/>
      <c r="K55" s="7"/>
    </row>
    <row r="56" spans="2:11" x14ac:dyDescent="0.25">
      <c r="B56" s="12">
        <v>39508</v>
      </c>
      <c r="C56" s="69">
        <f t="shared" si="0"/>
        <v>0</v>
      </c>
      <c r="D56" s="73">
        <v>0</v>
      </c>
      <c r="E56" s="73"/>
      <c r="G56" s="6"/>
      <c r="I56" s="6"/>
      <c r="K56" s="7"/>
    </row>
    <row r="57" spans="2:11" x14ac:dyDescent="0.25">
      <c r="B57" s="12">
        <v>39479</v>
      </c>
      <c r="C57" s="69">
        <f t="shared" si="0"/>
        <v>0</v>
      </c>
      <c r="D57" s="73">
        <v>0</v>
      </c>
      <c r="E57" s="73"/>
      <c r="G57" s="6"/>
      <c r="I57" s="6"/>
      <c r="K57" s="7"/>
    </row>
    <row r="58" spans="2:11" x14ac:dyDescent="0.25">
      <c r="B58" s="12">
        <v>39448</v>
      </c>
      <c r="C58" s="69">
        <f t="shared" si="0"/>
        <v>1.9989950980392157</v>
      </c>
      <c r="D58" s="73">
        <v>408</v>
      </c>
      <c r="E58" s="73">
        <v>815.59</v>
      </c>
      <c r="G58" s="6"/>
      <c r="I58" s="6"/>
      <c r="K58" s="7"/>
    </row>
    <row r="59" spans="2:11" x14ac:dyDescent="0.25">
      <c r="B59" s="12">
        <v>39417</v>
      </c>
      <c r="C59" s="69">
        <f t="shared" si="0"/>
        <v>1.7489999999999999</v>
      </c>
      <c r="D59" s="73">
        <v>890</v>
      </c>
      <c r="E59" s="73">
        <v>1556.61</v>
      </c>
      <c r="G59" s="6"/>
      <c r="I59" s="6"/>
      <c r="K59" s="7"/>
    </row>
    <row r="60" spans="2:11" x14ac:dyDescent="0.25">
      <c r="B60" s="12">
        <v>39387</v>
      </c>
      <c r="C60" s="69">
        <f t="shared" si="0"/>
        <v>1.7490041493775934</v>
      </c>
      <c r="D60" s="73">
        <v>241</v>
      </c>
      <c r="E60" s="73">
        <v>421.51</v>
      </c>
      <c r="G60" s="6"/>
      <c r="I60" s="6"/>
      <c r="K60" s="7"/>
    </row>
    <row r="61" spans="2:11" x14ac:dyDescent="0.25">
      <c r="B61" s="12">
        <v>39356</v>
      </c>
      <c r="C61" s="69">
        <f t="shared" si="0"/>
        <v>1.7489922480620155</v>
      </c>
      <c r="D61" s="73">
        <v>129</v>
      </c>
      <c r="E61" s="73">
        <v>225.62</v>
      </c>
      <c r="G61" s="6"/>
      <c r="I61" s="6"/>
      <c r="K61" s="7"/>
    </row>
    <row r="62" spans="2:11" x14ac:dyDescent="0.25">
      <c r="B62" s="12">
        <v>39326</v>
      </c>
      <c r="C62" s="69">
        <f t="shared" si="0"/>
        <v>0</v>
      </c>
      <c r="D62" s="73">
        <v>0</v>
      </c>
      <c r="E62" s="73"/>
      <c r="G62" s="6"/>
      <c r="I62" s="6"/>
      <c r="K62" s="7"/>
    </row>
    <row r="63" spans="2:11" x14ac:dyDescent="0.25">
      <c r="B63" s="12">
        <v>39295</v>
      </c>
      <c r="C63" s="69">
        <f t="shared" si="0"/>
        <v>1.7489976689976692</v>
      </c>
      <c r="D63" s="73">
        <v>429</v>
      </c>
      <c r="E63" s="73">
        <v>750.32</v>
      </c>
      <c r="G63" s="6"/>
      <c r="I63" s="6"/>
      <c r="K63" s="7"/>
    </row>
    <row r="64" spans="2:11" x14ac:dyDescent="0.25">
      <c r="B64" s="12">
        <v>39264</v>
      </c>
      <c r="C64" s="69">
        <f t="shared" si="0"/>
        <v>1.6490149253731341</v>
      </c>
      <c r="D64" s="73">
        <v>335</v>
      </c>
      <c r="E64" s="73">
        <v>552.41999999999996</v>
      </c>
      <c r="G64" s="6"/>
      <c r="I64" s="6"/>
      <c r="K64" s="7"/>
    </row>
    <row r="65" spans="2:11" x14ac:dyDescent="0.25">
      <c r="B65" s="12">
        <v>39234</v>
      </c>
      <c r="C65" s="69">
        <f t="shared" si="0"/>
        <v>0</v>
      </c>
      <c r="D65" s="73">
        <v>0</v>
      </c>
      <c r="E65" s="73"/>
      <c r="G65" s="6"/>
      <c r="I65" s="6"/>
      <c r="K65" s="7"/>
    </row>
    <row r="66" spans="2:11" x14ac:dyDescent="0.25">
      <c r="B66" s="12">
        <v>39203</v>
      </c>
      <c r="C66" s="69">
        <f t="shared" si="0"/>
        <v>1.6489948453608245</v>
      </c>
      <c r="D66" s="73">
        <v>388</v>
      </c>
      <c r="E66" s="73">
        <v>639.80999999999995</v>
      </c>
      <c r="G66" s="6"/>
      <c r="I66" s="6"/>
      <c r="K66" s="7"/>
    </row>
    <row r="67" spans="2:11" x14ac:dyDescent="0.25">
      <c r="B67" s="12">
        <v>39173</v>
      </c>
      <c r="C67" s="69">
        <f t="shared" si="0"/>
        <v>0</v>
      </c>
      <c r="D67" s="73">
        <v>0</v>
      </c>
      <c r="E67" s="73"/>
      <c r="G67" s="6"/>
      <c r="I67" s="6"/>
      <c r="K67" s="7"/>
    </row>
    <row r="68" spans="2:11" x14ac:dyDescent="0.25">
      <c r="B68" s="12">
        <v>39142</v>
      </c>
      <c r="C68" s="69">
        <f t="shared" si="0"/>
        <v>0</v>
      </c>
      <c r="D68" s="73">
        <v>0</v>
      </c>
      <c r="E68" s="73"/>
      <c r="G68" s="6"/>
      <c r="I68" s="6"/>
      <c r="K68" s="7"/>
    </row>
    <row r="69" spans="2:11" x14ac:dyDescent="0.25">
      <c r="B69" s="12">
        <v>39114</v>
      </c>
      <c r="C69" s="69">
        <f t="shared" ref="C69:C70" si="1">IF(E69&gt;0,E69/D69,0)</f>
        <v>0</v>
      </c>
      <c r="D69" s="73">
        <v>0</v>
      </c>
      <c r="E69" s="73"/>
      <c r="G69" s="6"/>
      <c r="I69" s="6"/>
      <c r="K69" s="7"/>
    </row>
    <row r="70" spans="2:11" x14ac:dyDescent="0.25">
      <c r="B70" s="12">
        <v>39083</v>
      </c>
      <c r="C70" s="69">
        <f t="shared" si="1"/>
        <v>0</v>
      </c>
      <c r="D70" s="73">
        <v>0</v>
      </c>
      <c r="E70" s="73"/>
      <c r="G70" s="6"/>
      <c r="I70" s="6"/>
      <c r="K70" s="7"/>
    </row>
    <row r="72" spans="2:11" x14ac:dyDescent="0.25">
      <c r="B72" s="10" t="s">
        <v>6</v>
      </c>
      <c r="D72" s="28">
        <f>SUM(D4:D70)</f>
        <v>11427.400000000001</v>
      </c>
      <c r="E72" s="3">
        <f>SUM(E4:E70)</f>
        <v>22840.369999999995</v>
      </c>
    </row>
  </sheetData>
  <hyperlinks>
    <hyperlink ref="A1" location="a33772345" display="a33772345"/>
  </hyperlinks>
  <pageMargins left="0.7" right="0.7" top="0.75" bottom="0.75" header="0.3" footer="0.3"/>
  <pageSetup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.140625" bestFit="1" customWidth="1"/>
    <col min="3" max="4" width="9.28515625" bestFit="1" customWidth="1"/>
    <col min="5" max="5" width="11.5703125" bestFit="1" customWidth="1"/>
    <col min="10" max="10" width="10.7109375" bestFit="1" customWidth="1"/>
  </cols>
  <sheetData>
    <row r="1" spans="1:5" x14ac:dyDescent="0.25">
      <c r="A1" s="5">
        <v>30492</v>
      </c>
      <c r="B1" s="2" t="str">
        <f>Summary!C7</f>
        <v>007075: 008001   Ed Center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2.2990212071778142</v>
      </c>
      <c r="D4" s="57">
        <v>61.3</v>
      </c>
      <c r="E4" s="57">
        <v>140.93</v>
      </c>
    </row>
    <row r="5" spans="1:5" x14ac:dyDescent="0.25">
      <c r="B5" s="12">
        <v>41061</v>
      </c>
      <c r="C5" s="69">
        <f t="shared" ref="C5:C68" si="0">IF(E5&gt;0,E5/D5,0)</f>
        <v>2.2991111111111109</v>
      </c>
      <c r="D5" s="57">
        <v>45</v>
      </c>
      <c r="E5" s="57">
        <v>103.46</v>
      </c>
    </row>
    <row r="6" spans="1:5" x14ac:dyDescent="0.25">
      <c r="B6" s="12">
        <v>41030</v>
      </c>
      <c r="C6" s="69">
        <f t="shared" si="0"/>
        <v>2.2991404011461318</v>
      </c>
      <c r="D6" s="57">
        <v>34.9</v>
      </c>
      <c r="E6" s="57">
        <v>80.239999999999995</v>
      </c>
    </row>
    <row r="7" spans="1:5" x14ac:dyDescent="0.25">
      <c r="B7" s="12">
        <v>41000</v>
      </c>
      <c r="C7" s="69">
        <f t="shared" si="0"/>
        <v>2.2989959839357432</v>
      </c>
      <c r="D7" s="57">
        <v>298.8</v>
      </c>
      <c r="E7" s="57">
        <v>686.94</v>
      </c>
    </row>
    <row r="8" spans="1:5" x14ac:dyDescent="0.25">
      <c r="B8" s="12">
        <v>40969</v>
      </c>
      <c r="C8" s="69">
        <f t="shared" si="0"/>
        <v>2.2989999999999999</v>
      </c>
      <c r="D8" s="57">
        <v>440</v>
      </c>
      <c r="E8" s="57">
        <v>1011.56</v>
      </c>
    </row>
    <row r="9" spans="1:5" x14ac:dyDescent="0.25">
      <c r="B9" s="12">
        <v>40940</v>
      </c>
      <c r="C9" s="69">
        <f t="shared" si="0"/>
        <v>2.2989998571224461</v>
      </c>
      <c r="D9" s="57">
        <v>699.9</v>
      </c>
      <c r="E9" s="57">
        <v>1609.07</v>
      </c>
    </row>
    <row r="10" spans="1:5" x14ac:dyDescent="0.25">
      <c r="B10" s="12">
        <v>40909</v>
      </c>
      <c r="C10" s="69">
        <f t="shared" si="0"/>
        <v>2.2989931276969791</v>
      </c>
      <c r="D10" s="57">
        <v>625.70000000000005</v>
      </c>
      <c r="E10" s="57">
        <v>1438.48</v>
      </c>
    </row>
    <row r="11" spans="1:5" x14ac:dyDescent="0.25">
      <c r="B11" s="12">
        <v>40878</v>
      </c>
      <c r="C11" s="69">
        <f t="shared" si="0"/>
        <v>2.2990087857625592</v>
      </c>
      <c r="D11" s="57">
        <v>443.9</v>
      </c>
      <c r="E11" s="57">
        <v>1020.53</v>
      </c>
    </row>
    <row r="12" spans="1:5" x14ac:dyDescent="0.25">
      <c r="B12" s="12">
        <v>40848</v>
      </c>
      <c r="C12" s="69">
        <f t="shared" si="0"/>
        <v>0</v>
      </c>
      <c r="D12" s="57">
        <v>0</v>
      </c>
      <c r="E12" s="57"/>
    </row>
    <row r="13" spans="1:5" x14ac:dyDescent="0.25">
      <c r="B13" s="12">
        <v>40817</v>
      </c>
      <c r="C13" s="69">
        <f t="shared" si="0"/>
        <v>2.298982498982499</v>
      </c>
      <c r="D13" s="57">
        <v>245.7</v>
      </c>
      <c r="E13" s="57">
        <v>564.86</v>
      </c>
    </row>
    <row r="14" spans="1:5" x14ac:dyDescent="0.25">
      <c r="B14" s="12">
        <v>40787</v>
      </c>
      <c r="C14" s="69">
        <f t="shared" si="0"/>
        <v>0</v>
      </c>
      <c r="D14" s="57">
        <v>0</v>
      </c>
      <c r="E14" s="57"/>
    </row>
    <row r="15" spans="1:5" x14ac:dyDescent="0.25">
      <c r="B15" s="12">
        <v>40756</v>
      </c>
      <c r="C15" s="69">
        <f t="shared" si="0"/>
        <v>0</v>
      </c>
      <c r="D15" s="57">
        <v>0</v>
      </c>
      <c r="E15" s="57"/>
    </row>
    <row r="16" spans="1:5" x14ac:dyDescent="0.25">
      <c r="B16" s="12">
        <v>40725</v>
      </c>
      <c r="C16" s="69">
        <f t="shared" si="0"/>
        <v>1.9989868287740629</v>
      </c>
      <c r="D16" s="57">
        <v>98.7</v>
      </c>
      <c r="E16" s="57">
        <v>197.3</v>
      </c>
    </row>
    <row r="17" spans="2:10" x14ac:dyDescent="0.25">
      <c r="B17" s="12">
        <v>40695</v>
      </c>
      <c r="C17" s="69">
        <f t="shared" si="0"/>
        <v>0</v>
      </c>
      <c r="D17" s="57">
        <v>0</v>
      </c>
      <c r="E17" s="57"/>
    </row>
    <row r="18" spans="2:10" x14ac:dyDescent="0.25">
      <c r="B18" s="12">
        <v>40664</v>
      </c>
      <c r="C18" s="69">
        <f t="shared" si="0"/>
        <v>1.9990064289888954</v>
      </c>
      <c r="D18" s="57">
        <v>342.2</v>
      </c>
      <c r="E18" s="57">
        <v>684.06</v>
      </c>
    </row>
    <row r="19" spans="2:10" x14ac:dyDescent="0.25">
      <c r="B19" s="12">
        <v>40634</v>
      </c>
      <c r="C19" s="69">
        <f t="shared" si="0"/>
        <v>1.9990006891798762</v>
      </c>
      <c r="D19" s="57">
        <v>580.4</v>
      </c>
      <c r="E19" s="57">
        <v>1160.22</v>
      </c>
    </row>
    <row r="20" spans="2:10" x14ac:dyDescent="0.25">
      <c r="B20" s="12">
        <v>40603</v>
      </c>
      <c r="C20" s="69">
        <f t="shared" si="0"/>
        <v>0</v>
      </c>
      <c r="D20" s="57">
        <v>0</v>
      </c>
      <c r="E20" s="57"/>
      <c r="G20" s="6"/>
      <c r="I20" s="6"/>
      <c r="J20" s="10"/>
    </row>
    <row r="21" spans="2:10" x14ac:dyDescent="0.25">
      <c r="B21" s="12">
        <v>40575</v>
      </c>
      <c r="C21" s="69">
        <f t="shared" si="0"/>
        <v>1.9989990256001415</v>
      </c>
      <c r="D21" s="72">
        <f>506.5+622.4</f>
        <v>1128.9000000000001</v>
      </c>
      <c r="E21" s="72">
        <f>1012.49+1244.18</f>
        <v>2256.67</v>
      </c>
      <c r="G21" s="6"/>
      <c r="I21" s="6"/>
      <c r="J21" s="10"/>
    </row>
    <row r="22" spans="2:10" x14ac:dyDescent="0.25">
      <c r="B22" s="12">
        <v>40544</v>
      </c>
      <c r="C22" s="69">
        <f t="shared" si="0"/>
        <v>1.999002978117312</v>
      </c>
      <c r="D22" s="72">
        <v>772.3</v>
      </c>
      <c r="E22" s="72">
        <v>1543.83</v>
      </c>
      <c r="G22" s="6"/>
      <c r="I22" s="6"/>
      <c r="J22" s="10"/>
    </row>
    <row r="23" spans="2:10" x14ac:dyDescent="0.25">
      <c r="B23" s="12">
        <v>40513</v>
      </c>
      <c r="C23" s="69">
        <f t="shared" si="0"/>
        <v>1.9990001817851299</v>
      </c>
      <c r="D23" s="72">
        <v>550.1</v>
      </c>
      <c r="E23" s="72">
        <v>1099.6500000000001</v>
      </c>
      <c r="G23" s="6"/>
      <c r="I23" s="6"/>
      <c r="J23" s="10"/>
    </row>
    <row r="24" spans="2:10" x14ac:dyDescent="0.25">
      <c r="B24" s="12">
        <v>40483</v>
      </c>
      <c r="C24" s="69">
        <f t="shared" si="0"/>
        <v>1.9989781699953553</v>
      </c>
      <c r="D24" s="72">
        <v>215.3</v>
      </c>
      <c r="E24" s="72">
        <v>430.38</v>
      </c>
      <c r="G24" s="6"/>
      <c r="I24" s="6"/>
      <c r="J24" s="10"/>
    </row>
    <row r="25" spans="2:10" x14ac:dyDescent="0.25">
      <c r="B25" s="12">
        <v>40452</v>
      </c>
      <c r="C25" s="69">
        <f t="shared" si="0"/>
        <v>1.9989669421487604</v>
      </c>
      <c r="D25" s="72">
        <v>96.8</v>
      </c>
      <c r="E25" s="72">
        <v>193.5</v>
      </c>
      <c r="G25" s="6"/>
      <c r="I25" s="6"/>
      <c r="J25" s="10"/>
    </row>
    <row r="26" spans="2:10" x14ac:dyDescent="0.25">
      <c r="B26" s="12">
        <v>40422</v>
      </c>
      <c r="C26" s="69">
        <f t="shared" si="0"/>
        <v>1.9990467111534793</v>
      </c>
      <c r="D26" s="72">
        <v>104.9</v>
      </c>
      <c r="E26" s="72">
        <v>209.7</v>
      </c>
      <c r="G26" s="6"/>
      <c r="I26" s="6"/>
      <c r="J26" s="10"/>
    </row>
    <row r="27" spans="2:10" x14ac:dyDescent="0.25">
      <c r="B27" s="12">
        <v>40391</v>
      </c>
      <c r="C27" s="69">
        <f t="shared" si="0"/>
        <v>0</v>
      </c>
      <c r="D27" s="72">
        <v>0</v>
      </c>
      <c r="E27" s="72"/>
      <c r="G27" s="6"/>
      <c r="I27" s="6"/>
      <c r="J27" s="10"/>
    </row>
    <row r="28" spans="2:10" x14ac:dyDescent="0.25">
      <c r="B28" s="12">
        <v>40360</v>
      </c>
      <c r="C28" s="69">
        <f t="shared" si="0"/>
        <v>1.9989517819706497</v>
      </c>
      <c r="D28" s="72">
        <v>47.7</v>
      </c>
      <c r="E28" s="72">
        <v>95.35</v>
      </c>
      <c r="G28" s="6"/>
      <c r="I28" s="6"/>
      <c r="J28" s="10"/>
    </row>
    <row r="29" spans="2:10" x14ac:dyDescent="0.25">
      <c r="B29" s="12">
        <v>40330</v>
      </c>
      <c r="C29" s="69">
        <f t="shared" si="0"/>
        <v>1.9989651928504235</v>
      </c>
      <c r="D29" s="72">
        <v>106.3</v>
      </c>
      <c r="E29" s="72">
        <v>212.49</v>
      </c>
      <c r="G29" s="6"/>
      <c r="I29" s="6"/>
      <c r="J29" s="10"/>
    </row>
    <row r="30" spans="2:10" x14ac:dyDescent="0.25">
      <c r="B30" s="12">
        <v>40299</v>
      </c>
      <c r="C30" s="69">
        <f t="shared" si="0"/>
        <v>1.7989868287740627</v>
      </c>
      <c r="D30" s="72">
        <v>98.7</v>
      </c>
      <c r="E30" s="72">
        <v>177.56</v>
      </c>
      <c r="G30" s="6"/>
      <c r="I30" s="6"/>
      <c r="J30" s="10"/>
    </row>
    <row r="31" spans="2:10" x14ac:dyDescent="0.25">
      <c r="B31" s="12">
        <v>40269</v>
      </c>
      <c r="C31" s="69">
        <f t="shared" si="0"/>
        <v>1.7990017982311275</v>
      </c>
      <c r="D31" s="72">
        <f>1454.3+550+470+250.6</f>
        <v>2724.9</v>
      </c>
      <c r="E31" s="72">
        <f>2616.29+989.45+845.53+450.83</f>
        <v>4902.0999999999995</v>
      </c>
      <c r="G31" s="6"/>
      <c r="I31" s="6"/>
      <c r="J31" s="10"/>
    </row>
    <row r="32" spans="2:10" x14ac:dyDescent="0.25">
      <c r="B32" s="12">
        <v>40238</v>
      </c>
      <c r="C32" s="69">
        <f t="shared" si="0"/>
        <v>1.7990056818181819</v>
      </c>
      <c r="D32" s="72">
        <f>202.1+504.2+560.9</f>
        <v>1267.1999999999998</v>
      </c>
      <c r="E32" s="72">
        <f>363.58+907.06+1009.06</f>
        <v>2279.6999999999998</v>
      </c>
      <c r="G32" s="6"/>
      <c r="I32" s="6"/>
      <c r="J32" s="10"/>
    </row>
    <row r="33" spans="2:11" x14ac:dyDescent="0.25">
      <c r="B33" s="12">
        <v>40210</v>
      </c>
      <c r="C33" s="69">
        <f t="shared" si="0"/>
        <v>1.7145448634590379</v>
      </c>
      <c r="D33" s="72">
        <f>494.5+100+400+543.5</f>
        <v>1538</v>
      </c>
      <c r="E33" s="72">
        <f>889.61+50+719.6+977.76</f>
        <v>2636.9700000000003</v>
      </c>
      <c r="G33" s="6"/>
      <c r="I33" s="6"/>
      <c r="J33" s="10"/>
    </row>
    <row r="34" spans="2:11" x14ac:dyDescent="0.25">
      <c r="B34" s="12">
        <v>40179</v>
      </c>
      <c r="C34" s="69">
        <f t="shared" si="0"/>
        <v>1.7989994522548842</v>
      </c>
      <c r="D34" s="72">
        <f>550.3+420.6+500.1+786.1+401.4+80</f>
        <v>2738.5</v>
      </c>
      <c r="E34" s="72">
        <f>989.99+756.66+899.68+1414.19+722.12+143.92</f>
        <v>4926.5600000000004</v>
      </c>
      <c r="G34" s="6"/>
      <c r="I34" s="6"/>
      <c r="J34" s="10"/>
    </row>
    <row r="35" spans="2:11" x14ac:dyDescent="0.25">
      <c r="B35" s="12">
        <v>40148</v>
      </c>
      <c r="C35" s="69">
        <f t="shared" si="0"/>
        <v>1.79900826446281</v>
      </c>
      <c r="D35" s="72">
        <v>484</v>
      </c>
      <c r="E35" s="72">
        <v>870.72</v>
      </c>
      <c r="G35" s="6"/>
      <c r="I35" s="6"/>
      <c r="J35" s="10"/>
    </row>
    <row r="36" spans="2:11" x14ac:dyDescent="0.25">
      <c r="B36" s="12">
        <v>40118</v>
      </c>
      <c r="C36" s="69">
        <f t="shared" si="0"/>
        <v>0</v>
      </c>
      <c r="D36" s="72">
        <v>0</v>
      </c>
      <c r="E36" s="72"/>
      <c r="G36" s="6"/>
      <c r="I36" s="6"/>
      <c r="J36" s="10"/>
    </row>
    <row r="37" spans="2:11" x14ac:dyDescent="0.25">
      <c r="B37" s="12">
        <v>40087</v>
      </c>
      <c r="C37" s="69">
        <f t="shared" si="0"/>
        <v>0</v>
      </c>
      <c r="D37" s="72">
        <v>0</v>
      </c>
      <c r="E37" s="72"/>
      <c r="G37" s="6"/>
      <c r="I37" s="6"/>
      <c r="J37" s="10"/>
    </row>
    <row r="38" spans="2:11" x14ac:dyDescent="0.25">
      <c r="B38" s="12">
        <v>40057</v>
      </c>
      <c r="C38" s="69">
        <f t="shared" si="0"/>
        <v>0</v>
      </c>
      <c r="D38" s="72">
        <v>0</v>
      </c>
      <c r="E38" s="72"/>
      <c r="G38" s="6"/>
      <c r="I38" s="6"/>
      <c r="J38" s="10"/>
    </row>
    <row r="39" spans="2:11" x14ac:dyDescent="0.25">
      <c r="B39" s="12">
        <v>40026</v>
      </c>
      <c r="C39" s="69">
        <f t="shared" si="0"/>
        <v>1.6989974761637687</v>
      </c>
      <c r="D39" s="72">
        <f>528.6+411.3+486.5</f>
        <v>1426.4</v>
      </c>
      <c r="E39" s="72">
        <f>898.09+698.8+826.56</f>
        <v>2423.4499999999998</v>
      </c>
      <c r="G39" s="6"/>
      <c r="I39" s="6"/>
      <c r="J39" s="10"/>
    </row>
    <row r="40" spans="2:11" x14ac:dyDescent="0.25">
      <c r="B40" s="12">
        <v>39995</v>
      </c>
      <c r="C40" s="69">
        <f t="shared" si="0"/>
        <v>1.6989932287954383</v>
      </c>
      <c r="D40" s="72">
        <f>696+426.4</f>
        <v>1122.4000000000001</v>
      </c>
      <c r="E40" s="72">
        <f>1182.5+724.45</f>
        <v>1906.95</v>
      </c>
      <c r="G40" s="6"/>
      <c r="I40" s="6"/>
      <c r="J40" s="10"/>
      <c r="K40" s="6"/>
    </row>
    <row r="41" spans="2:11" x14ac:dyDescent="0.25">
      <c r="B41" s="12">
        <v>39965</v>
      </c>
      <c r="C41" s="69">
        <f t="shared" si="0"/>
        <v>1.6989999999999998</v>
      </c>
      <c r="D41" s="72">
        <f>700.5+469.5</f>
        <v>1170</v>
      </c>
      <c r="E41" s="72">
        <f>1190.15+797.68</f>
        <v>1987.83</v>
      </c>
      <c r="G41" s="6"/>
      <c r="I41" s="6"/>
      <c r="J41" s="10"/>
      <c r="K41" s="6"/>
    </row>
    <row r="42" spans="2:11" x14ac:dyDescent="0.25">
      <c r="B42" s="12">
        <v>39934</v>
      </c>
      <c r="C42" s="69">
        <f t="shared" si="0"/>
        <v>0</v>
      </c>
      <c r="D42" s="72">
        <v>0</v>
      </c>
      <c r="E42" s="72"/>
      <c r="G42" s="6"/>
      <c r="I42" s="6"/>
      <c r="J42" s="10"/>
      <c r="K42" s="6"/>
    </row>
    <row r="43" spans="2:11" x14ac:dyDescent="0.25">
      <c r="B43" s="12">
        <v>39904</v>
      </c>
      <c r="C43" s="69">
        <f t="shared" si="0"/>
        <v>0</v>
      </c>
      <c r="D43" s="72">
        <v>0</v>
      </c>
      <c r="E43" s="72"/>
      <c r="G43" s="6"/>
      <c r="I43" s="6"/>
      <c r="J43" s="10"/>
      <c r="K43" s="6"/>
    </row>
    <row r="44" spans="2:11" x14ac:dyDescent="0.25">
      <c r="B44" s="12">
        <v>39873</v>
      </c>
      <c r="C44" s="69">
        <f t="shared" si="0"/>
        <v>0</v>
      </c>
      <c r="D44" s="72">
        <v>0</v>
      </c>
      <c r="E44" s="72"/>
      <c r="G44" s="6"/>
      <c r="I44" s="6"/>
      <c r="J44" s="10"/>
      <c r="K44" s="6"/>
    </row>
    <row r="45" spans="2:11" x14ac:dyDescent="0.25">
      <c r="B45" s="12">
        <v>39845</v>
      </c>
      <c r="C45" s="69">
        <f t="shared" si="0"/>
        <v>0</v>
      </c>
      <c r="D45" s="72">
        <v>0</v>
      </c>
      <c r="E45" s="72"/>
      <c r="G45" s="6"/>
      <c r="I45" s="6"/>
      <c r="J45" s="10"/>
      <c r="K45" s="6"/>
    </row>
    <row r="46" spans="2:11" x14ac:dyDescent="0.25">
      <c r="B46" s="12">
        <v>39814</v>
      </c>
      <c r="C46" s="69">
        <f t="shared" si="0"/>
        <v>0</v>
      </c>
      <c r="D46" s="72">
        <v>0</v>
      </c>
      <c r="E46" s="72"/>
      <c r="G46" s="6"/>
      <c r="I46" s="6"/>
      <c r="J46" s="10"/>
      <c r="K46" s="6"/>
    </row>
    <row r="47" spans="2:11" x14ac:dyDescent="0.25">
      <c r="B47" s="12">
        <v>39783</v>
      </c>
      <c r="C47" s="69">
        <f t="shared" si="0"/>
        <v>0</v>
      </c>
      <c r="D47" s="72">
        <v>0</v>
      </c>
      <c r="E47" s="72"/>
      <c r="G47" s="6"/>
      <c r="I47" s="6"/>
      <c r="J47" s="10"/>
      <c r="K47" s="6"/>
    </row>
    <row r="48" spans="2:11" x14ac:dyDescent="0.25">
      <c r="B48" s="12">
        <v>39753</v>
      </c>
      <c r="C48" s="69">
        <f t="shared" si="0"/>
        <v>0</v>
      </c>
      <c r="D48" s="72">
        <v>0</v>
      </c>
      <c r="E48" s="72"/>
      <c r="G48" s="6"/>
      <c r="I48" s="6"/>
      <c r="J48" s="10"/>
      <c r="K48" s="6"/>
    </row>
    <row r="49" spans="2:11" x14ac:dyDescent="0.25">
      <c r="B49" s="12">
        <v>39722</v>
      </c>
      <c r="C49" s="69">
        <f t="shared" si="0"/>
        <v>0</v>
      </c>
      <c r="D49" s="72">
        <v>0</v>
      </c>
      <c r="E49" s="72"/>
      <c r="G49" s="6"/>
      <c r="I49" s="6"/>
      <c r="J49" s="10"/>
      <c r="K49" s="6"/>
    </row>
    <row r="50" spans="2:11" x14ac:dyDescent="0.25">
      <c r="B50" s="12">
        <v>39692</v>
      </c>
      <c r="C50" s="69">
        <f t="shared" si="0"/>
        <v>2.4989779874213838</v>
      </c>
      <c r="D50" s="72">
        <v>127.2</v>
      </c>
      <c r="E50" s="72">
        <v>317.87</v>
      </c>
      <c r="G50" s="6"/>
      <c r="I50" s="6"/>
      <c r="J50" s="10"/>
      <c r="K50" s="6"/>
    </row>
    <row r="51" spans="2:11" x14ac:dyDescent="0.25">
      <c r="B51" s="12">
        <v>39661</v>
      </c>
      <c r="C51" s="69">
        <f t="shared" si="0"/>
        <v>2.4990017551557702</v>
      </c>
      <c r="D51" s="72">
        <f>477.8+433.8</f>
        <v>911.6</v>
      </c>
      <c r="E51" s="72">
        <f>1194.02+1084.07</f>
        <v>2278.09</v>
      </c>
      <c r="G51" s="6"/>
      <c r="I51" s="6"/>
      <c r="J51" s="10"/>
      <c r="K51" s="6"/>
    </row>
    <row r="52" spans="2:11" x14ac:dyDescent="0.25">
      <c r="B52" s="12">
        <v>39630</v>
      </c>
      <c r="C52" s="69">
        <f t="shared" si="0"/>
        <v>2.499004927060188</v>
      </c>
      <c r="D52" s="72">
        <f>444.5+590.6</f>
        <v>1035.0999999999999</v>
      </c>
      <c r="E52" s="72">
        <f>1110.81+1475.91</f>
        <v>2586.7200000000003</v>
      </c>
      <c r="G52" s="6"/>
      <c r="I52" s="6"/>
      <c r="J52" s="10"/>
      <c r="K52" s="6"/>
    </row>
    <row r="53" spans="2:11" x14ac:dyDescent="0.25">
      <c r="B53" s="12">
        <v>39600</v>
      </c>
      <c r="C53" s="69">
        <f t="shared" si="0"/>
        <v>2.499008446566287</v>
      </c>
      <c r="D53" s="72">
        <f>442.8+374.1</f>
        <v>816.90000000000009</v>
      </c>
      <c r="E53" s="72">
        <f>1106.56+934.88</f>
        <v>2041.44</v>
      </c>
      <c r="G53" s="6"/>
      <c r="I53" s="6"/>
      <c r="J53" s="10"/>
      <c r="K53" s="6"/>
    </row>
    <row r="54" spans="2:11" x14ac:dyDescent="0.25">
      <c r="B54" s="12">
        <v>39569</v>
      </c>
      <c r="C54" s="69">
        <f t="shared" si="0"/>
        <v>0</v>
      </c>
      <c r="D54" s="72">
        <v>0</v>
      </c>
      <c r="E54" s="72"/>
      <c r="G54" s="6"/>
      <c r="I54" s="6"/>
      <c r="J54" s="10"/>
      <c r="K54" s="6"/>
    </row>
    <row r="55" spans="2:11" x14ac:dyDescent="0.25">
      <c r="B55" s="12">
        <v>39539</v>
      </c>
      <c r="C55" s="69">
        <f t="shared" si="0"/>
        <v>0</v>
      </c>
      <c r="D55" s="72">
        <v>0</v>
      </c>
      <c r="E55" s="72"/>
      <c r="G55" s="6"/>
      <c r="I55" s="6"/>
      <c r="J55" s="10"/>
      <c r="K55" s="6"/>
    </row>
    <row r="56" spans="2:11" x14ac:dyDescent="0.25">
      <c r="B56" s="12">
        <v>39508</v>
      </c>
      <c r="C56" s="69">
        <f t="shared" si="0"/>
        <v>0</v>
      </c>
      <c r="D56" s="72">
        <v>0</v>
      </c>
      <c r="E56" s="72"/>
      <c r="G56" s="6"/>
      <c r="I56" s="6"/>
      <c r="J56" s="10"/>
      <c r="K56" s="6"/>
    </row>
    <row r="57" spans="2:11" x14ac:dyDescent="0.25">
      <c r="B57" s="12">
        <v>39479</v>
      </c>
      <c r="C57" s="69">
        <f t="shared" si="0"/>
        <v>0</v>
      </c>
      <c r="D57" s="72">
        <v>0</v>
      </c>
      <c r="E57" s="72"/>
      <c r="G57" s="6"/>
      <c r="I57" s="6"/>
      <c r="J57" s="10"/>
      <c r="K57" s="6"/>
    </row>
    <row r="58" spans="2:11" x14ac:dyDescent="0.25">
      <c r="B58" s="12">
        <v>39448</v>
      </c>
      <c r="C58" s="69">
        <f t="shared" si="0"/>
        <v>0</v>
      </c>
      <c r="D58" s="72">
        <v>0</v>
      </c>
      <c r="E58" s="72"/>
      <c r="G58" s="6"/>
      <c r="I58" s="6"/>
      <c r="J58" s="10"/>
      <c r="K58" s="6"/>
    </row>
    <row r="59" spans="2:11" x14ac:dyDescent="0.25">
      <c r="B59" s="12">
        <v>39417</v>
      </c>
      <c r="C59" s="69">
        <f t="shared" si="0"/>
        <v>0</v>
      </c>
      <c r="D59" s="72">
        <v>0</v>
      </c>
      <c r="E59" s="72"/>
      <c r="G59" s="6"/>
      <c r="I59" s="6"/>
      <c r="J59" s="10"/>
      <c r="K59" s="6"/>
    </row>
    <row r="60" spans="2:11" x14ac:dyDescent="0.25">
      <c r="B60" s="12">
        <v>39387</v>
      </c>
      <c r="C60" s="69">
        <f t="shared" si="0"/>
        <v>0</v>
      </c>
      <c r="D60" s="72">
        <v>0</v>
      </c>
      <c r="E60" s="72"/>
      <c r="G60" s="6"/>
      <c r="I60" s="6"/>
      <c r="J60" s="10"/>
      <c r="K60" s="6"/>
    </row>
    <row r="61" spans="2:11" x14ac:dyDescent="0.25">
      <c r="B61" s="12">
        <v>39356</v>
      </c>
      <c r="C61" s="69">
        <f t="shared" si="0"/>
        <v>0</v>
      </c>
      <c r="D61" s="72">
        <v>0</v>
      </c>
      <c r="E61" s="72"/>
      <c r="G61" s="6"/>
      <c r="I61" s="6"/>
      <c r="J61" s="10"/>
      <c r="K61" s="6"/>
    </row>
    <row r="62" spans="2:11" x14ac:dyDescent="0.25">
      <c r="B62" s="12">
        <v>39326</v>
      </c>
      <c r="C62" s="69">
        <f t="shared" si="0"/>
        <v>1.7490058479532162</v>
      </c>
      <c r="D62" s="72">
        <v>342</v>
      </c>
      <c r="E62" s="72">
        <v>598.16</v>
      </c>
      <c r="G62" s="6"/>
      <c r="I62" s="6"/>
      <c r="J62" s="10"/>
      <c r="K62" s="6"/>
    </row>
    <row r="63" spans="2:11" x14ac:dyDescent="0.25">
      <c r="B63" s="12">
        <v>39295</v>
      </c>
      <c r="C63" s="69">
        <f t="shared" si="0"/>
        <v>1.7489937106918239</v>
      </c>
      <c r="D63" s="72">
        <f>268+467+219</f>
        <v>954</v>
      </c>
      <c r="E63" s="72">
        <f>468.73+816.78+383.03</f>
        <v>1668.54</v>
      </c>
      <c r="G63" s="6"/>
      <c r="I63" s="6"/>
      <c r="J63" s="10"/>
      <c r="K63" s="6"/>
    </row>
    <row r="64" spans="2:11" x14ac:dyDescent="0.25">
      <c r="B64" s="12">
        <v>39264</v>
      </c>
      <c r="C64" s="69">
        <f t="shared" si="0"/>
        <v>1.6757699443413729</v>
      </c>
      <c r="D64" s="72">
        <f>390+203+485</f>
        <v>1078</v>
      </c>
      <c r="E64" s="72">
        <f>682.11+324.6+799.77</f>
        <v>1806.48</v>
      </c>
      <c r="G64" s="6"/>
      <c r="I64" s="6"/>
      <c r="J64" s="10"/>
      <c r="K64" s="6"/>
    </row>
    <row r="65" spans="2:11" x14ac:dyDescent="0.25">
      <c r="B65" s="12">
        <v>39234</v>
      </c>
      <c r="C65" s="69">
        <f t="shared" si="0"/>
        <v>1.6489942857142859</v>
      </c>
      <c r="D65" s="72">
        <f>276+352+247</f>
        <v>875</v>
      </c>
      <c r="E65" s="72">
        <f>455.12+580.45+407.3</f>
        <v>1442.8700000000001</v>
      </c>
      <c r="G65" s="6"/>
      <c r="I65" s="6"/>
      <c r="J65" s="10"/>
      <c r="K65" s="6"/>
    </row>
    <row r="66" spans="2:11" x14ac:dyDescent="0.25">
      <c r="B66" s="12">
        <v>39203</v>
      </c>
      <c r="C66" s="69">
        <f t="shared" si="0"/>
        <v>1.6489873417721521</v>
      </c>
      <c r="D66" s="72">
        <v>158</v>
      </c>
      <c r="E66" s="72">
        <v>260.54000000000002</v>
      </c>
      <c r="G66" s="6"/>
      <c r="I66" s="6"/>
      <c r="J66" s="10"/>
      <c r="K66" s="6"/>
    </row>
    <row r="67" spans="2:11" x14ac:dyDescent="0.25">
      <c r="B67" s="12">
        <v>39173</v>
      </c>
      <c r="C67" s="69">
        <f t="shared" si="0"/>
        <v>0</v>
      </c>
      <c r="D67" s="72">
        <v>0</v>
      </c>
      <c r="E67" s="72"/>
      <c r="G67" s="6"/>
      <c r="I67" s="6"/>
      <c r="J67" s="10"/>
      <c r="K67" s="6"/>
    </row>
    <row r="68" spans="2:11" x14ac:dyDescent="0.25">
      <c r="B68" s="12">
        <v>39142</v>
      </c>
      <c r="C68" s="69">
        <f t="shared" si="0"/>
        <v>0</v>
      </c>
      <c r="D68" s="72">
        <v>0</v>
      </c>
      <c r="E68" s="72"/>
      <c r="G68" s="6"/>
      <c r="I68" s="6"/>
      <c r="J68" s="10"/>
      <c r="K68" s="6"/>
    </row>
    <row r="69" spans="2:11" x14ac:dyDescent="0.25">
      <c r="B69" s="12">
        <v>39114</v>
      </c>
      <c r="C69" s="69">
        <f t="shared" ref="C69:C70" si="1">IF(E69&gt;0,E69/D69,0)</f>
        <v>0</v>
      </c>
      <c r="D69" s="72">
        <v>0</v>
      </c>
      <c r="E69" s="72"/>
      <c r="G69" s="6"/>
      <c r="I69" s="6"/>
      <c r="J69" s="10"/>
      <c r="K69" s="6"/>
    </row>
    <row r="70" spans="2:11" x14ac:dyDescent="0.25">
      <c r="B70" s="12">
        <v>39083</v>
      </c>
      <c r="C70" s="69">
        <f t="shared" si="1"/>
        <v>0</v>
      </c>
      <c r="D70" s="72">
        <v>0</v>
      </c>
      <c r="E70" s="72"/>
      <c r="G70" s="6"/>
      <c r="I70" s="6"/>
      <c r="J70" s="10"/>
      <c r="K70" s="6"/>
    </row>
    <row r="72" spans="2:11" x14ac:dyDescent="0.25">
      <c r="B72" s="10" t="s">
        <v>6</v>
      </c>
      <c r="D72" s="28">
        <f>SUM(D4:D70)</f>
        <v>25806.7</v>
      </c>
      <c r="E72" s="3">
        <f>SUM(E4:E70)</f>
        <v>49851.770000000019</v>
      </c>
    </row>
  </sheetData>
  <hyperlinks>
    <hyperlink ref="A1" location="a34098363" display="a34098363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.140625" bestFit="1" customWidth="1"/>
    <col min="3" max="4" width="9.28515625" bestFit="1" customWidth="1"/>
    <col min="5" max="5" width="10.5703125" bestFit="1" customWidth="1"/>
    <col min="10" max="10" width="20.140625" style="13" bestFit="1" customWidth="1"/>
  </cols>
  <sheetData>
    <row r="1" spans="1:5" x14ac:dyDescent="0.25">
      <c r="A1" s="5">
        <v>30493</v>
      </c>
      <c r="B1" s="2" t="str">
        <f>Summary!C8</f>
        <v>Food Service Director's Residence - Tank # 542059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0</v>
      </c>
      <c r="D4" s="57">
        <v>0</v>
      </c>
      <c r="E4" s="57"/>
    </row>
    <row r="5" spans="1:5" x14ac:dyDescent="0.25">
      <c r="B5" s="12">
        <v>41061</v>
      </c>
      <c r="C5" s="69">
        <f t="shared" ref="C5:C68" si="0">IF(E5&gt;0,E5/D5,0)</f>
        <v>0</v>
      </c>
      <c r="D5" s="57">
        <v>0</v>
      </c>
      <c r="E5" s="57"/>
    </row>
    <row r="6" spans="1:5" x14ac:dyDescent="0.25">
      <c r="B6" s="12">
        <v>41030</v>
      </c>
      <c r="C6" s="69">
        <f t="shared" si="0"/>
        <v>0</v>
      </c>
      <c r="D6" s="57">
        <v>0</v>
      </c>
      <c r="E6" s="57"/>
    </row>
    <row r="7" spans="1:5" x14ac:dyDescent="0.25">
      <c r="B7" s="12">
        <v>41000</v>
      </c>
      <c r="C7" s="69">
        <f t="shared" si="0"/>
        <v>2.29899142713061</v>
      </c>
      <c r="D7" s="57">
        <v>198.3</v>
      </c>
      <c r="E7" s="57">
        <v>455.89</v>
      </c>
    </row>
    <row r="8" spans="1:5" x14ac:dyDescent="0.25">
      <c r="B8" s="12">
        <v>40969</v>
      </c>
      <c r="C8" s="69">
        <f t="shared" si="0"/>
        <v>0</v>
      </c>
      <c r="D8" s="57">
        <v>0</v>
      </c>
      <c r="E8" s="57"/>
    </row>
    <row r="9" spans="1:5" x14ac:dyDescent="0.25">
      <c r="B9" s="12">
        <v>40940</v>
      </c>
      <c r="C9" s="69">
        <f t="shared" si="0"/>
        <v>2.2989811912225706</v>
      </c>
      <c r="D9" s="57">
        <v>127.6</v>
      </c>
      <c r="E9" s="57">
        <v>293.35000000000002</v>
      </c>
    </row>
    <row r="10" spans="1:5" x14ac:dyDescent="0.25">
      <c r="B10" s="12">
        <v>40909</v>
      </c>
      <c r="C10" s="69">
        <f t="shared" si="0"/>
        <v>2.2990210843373493</v>
      </c>
      <c r="D10" s="57">
        <v>132.80000000000001</v>
      </c>
      <c r="E10" s="57">
        <v>305.31</v>
      </c>
    </row>
    <row r="11" spans="1:5" x14ac:dyDescent="0.25">
      <c r="B11" s="12">
        <v>40878</v>
      </c>
      <c r="C11" s="69">
        <f t="shared" si="0"/>
        <v>2.2989844683393073</v>
      </c>
      <c r="D11" s="57">
        <v>167.4</v>
      </c>
      <c r="E11" s="57">
        <v>384.85</v>
      </c>
    </row>
    <row r="12" spans="1:5" x14ac:dyDescent="0.25">
      <c r="B12" s="12">
        <v>40848</v>
      </c>
      <c r="C12" s="69">
        <f t="shared" si="0"/>
        <v>0</v>
      </c>
      <c r="D12" s="57">
        <v>0</v>
      </c>
      <c r="E12" s="57"/>
    </row>
    <row r="13" spans="1:5" x14ac:dyDescent="0.25">
      <c r="B13" s="12">
        <v>40817</v>
      </c>
      <c r="C13" s="69">
        <f t="shared" si="0"/>
        <v>2.2990256864481839</v>
      </c>
      <c r="D13" s="57">
        <v>112.9</v>
      </c>
      <c r="E13" s="57">
        <v>259.56</v>
      </c>
    </row>
    <row r="14" spans="1:5" x14ac:dyDescent="0.25">
      <c r="B14" s="12">
        <v>40787</v>
      </c>
      <c r="C14" s="69">
        <f t="shared" si="0"/>
        <v>0</v>
      </c>
      <c r="D14" s="57">
        <v>0</v>
      </c>
      <c r="E14" s="57"/>
    </row>
    <row r="15" spans="1:5" x14ac:dyDescent="0.25">
      <c r="B15" s="12">
        <v>40756</v>
      </c>
      <c r="C15" s="69">
        <f t="shared" si="0"/>
        <v>0</v>
      </c>
      <c r="D15" s="57">
        <v>0</v>
      </c>
      <c r="E15" s="57"/>
    </row>
    <row r="16" spans="1:5" x14ac:dyDescent="0.25">
      <c r="B16" s="12">
        <v>40725</v>
      </c>
      <c r="C16" s="69">
        <f t="shared" si="0"/>
        <v>0</v>
      </c>
      <c r="D16" s="57">
        <v>0</v>
      </c>
      <c r="E16" s="57"/>
    </row>
    <row r="17" spans="2:11" x14ac:dyDescent="0.25">
      <c r="B17" s="12">
        <v>40695</v>
      </c>
      <c r="C17" s="69">
        <f t="shared" si="0"/>
        <v>0</v>
      </c>
      <c r="D17" s="57">
        <v>0</v>
      </c>
      <c r="E17" s="57"/>
    </row>
    <row r="18" spans="2:11" x14ac:dyDescent="0.25">
      <c r="B18" s="12">
        <v>40664</v>
      </c>
      <c r="C18" s="69">
        <f t="shared" si="0"/>
        <v>1.9989473684210524</v>
      </c>
      <c r="D18" s="57">
        <v>76</v>
      </c>
      <c r="E18" s="57">
        <v>151.91999999999999</v>
      </c>
    </row>
    <row r="19" spans="2:11" x14ac:dyDescent="0.25">
      <c r="B19" s="12">
        <v>40634</v>
      </c>
      <c r="C19" s="69">
        <f t="shared" si="0"/>
        <v>1.9990363232023722</v>
      </c>
      <c r="D19" s="57">
        <v>134.9</v>
      </c>
      <c r="E19" s="57">
        <v>269.67</v>
      </c>
    </row>
    <row r="20" spans="2:11" x14ac:dyDescent="0.25">
      <c r="B20" s="12">
        <v>40603</v>
      </c>
      <c r="C20" s="69">
        <f t="shared" si="0"/>
        <v>0</v>
      </c>
      <c r="D20" s="57">
        <v>0</v>
      </c>
      <c r="E20" s="57"/>
      <c r="G20" s="6"/>
      <c r="I20" s="6"/>
      <c r="J20" s="14"/>
      <c r="K20" s="6"/>
    </row>
    <row r="21" spans="2:11" x14ac:dyDescent="0.25">
      <c r="B21" s="12">
        <v>40575</v>
      </c>
      <c r="C21" s="69">
        <f t="shared" si="0"/>
        <v>1.9990232907588279</v>
      </c>
      <c r="D21" s="72">
        <f>113.5+152.7</f>
        <v>266.2</v>
      </c>
      <c r="E21" s="72">
        <f>226.89+305.25</f>
        <v>532.14</v>
      </c>
      <c r="G21" s="6"/>
      <c r="I21" s="6"/>
      <c r="J21" s="14"/>
      <c r="K21" s="6"/>
    </row>
    <row r="22" spans="2:11" x14ac:dyDescent="0.25">
      <c r="B22" s="12">
        <v>40544</v>
      </c>
      <c r="C22" s="69">
        <f t="shared" si="0"/>
        <v>1.9989953114534491</v>
      </c>
      <c r="D22" s="72">
        <v>149.30000000000001</v>
      </c>
      <c r="E22" s="72">
        <v>298.45</v>
      </c>
      <c r="G22" s="6"/>
      <c r="I22" s="6"/>
      <c r="J22" s="15"/>
      <c r="K22" s="6"/>
    </row>
    <row r="23" spans="2:11" x14ac:dyDescent="0.25">
      <c r="B23" s="12">
        <v>40513</v>
      </c>
      <c r="C23" s="69">
        <f t="shared" si="0"/>
        <v>1.9990005878894768</v>
      </c>
      <c r="D23" s="72">
        <v>170.1</v>
      </c>
      <c r="E23" s="72">
        <v>340.03</v>
      </c>
      <c r="G23" s="6"/>
      <c r="I23" s="6"/>
      <c r="J23" s="14"/>
      <c r="K23" s="6"/>
    </row>
    <row r="24" spans="2:11" x14ac:dyDescent="0.25">
      <c r="B24" s="12">
        <v>40483</v>
      </c>
      <c r="C24" s="69">
        <f t="shared" si="0"/>
        <v>0</v>
      </c>
      <c r="D24" s="72">
        <v>0</v>
      </c>
      <c r="E24" s="72"/>
      <c r="G24" s="6"/>
      <c r="I24" s="6"/>
      <c r="J24" s="14"/>
      <c r="K24" s="6"/>
    </row>
    <row r="25" spans="2:11" x14ac:dyDescent="0.25">
      <c r="B25" s="12">
        <v>40452</v>
      </c>
      <c r="C25" s="69">
        <f t="shared" si="0"/>
        <v>1.999009900990099</v>
      </c>
      <c r="D25" s="72">
        <v>70.7</v>
      </c>
      <c r="E25" s="72">
        <v>141.33000000000001</v>
      </c>
      <c r="G25" s="6"/>
      <c r="I25" s="6"/>
      <c r="J25" s="14"/>
      <c r="K25" s="6"/>
    </row>
    <row r="26" spans="2:11" x14ac:dyDescent="0.25">
      <c r="B26" s="12">
        <v>40422</v>
      </c>
      <c r="C26" s="69">
        <f t="shared" si="0"/>
        <v>0</v>
      </c>
      <c r="D26" s="72">
        <v>0</v>
      </c>
      <c r="E26" s="72"/>
      <c r="G26" s="6"/>
      <c r="I26" s="6"/>
      <c r="J26" s="14"/>
      <c r="K26" s="6"/>
    </row>
    <row r="27" spans="2:11" x14ac:dyDescent="0.25">
      <c r="B27" s="12">
        <v>40391</v>
      </c>
      <c r="C27" s="69">
        <f t="shared" si="0"/>
        <v>0</v>
      </c>
      <c r="D27" s="72">
        <v>0</v>
      </c>
      <c r="E27" s="72"/>
      <c r="G27" s="6"/>
      <c r="I27" s="6"/>
      <c r="J27" s="14"/>
      <c r="K27" s="6"/>
    </row>
    <row r="28" spans="2:11" x14ac:dyDescent="0.25">
      <c r="B28" s="12">
        <v>40360</v>
      </c>
      <c r="C28" s="69">
        <f t="shared" si="0"/>
        <v>0</v>
      </c>
      <c r="D28" s="72">
        <v>0</v>
      </c>
      <c r="E28" s="72"/>
      <c r="G28" s="6"/>
      <c r="I28" s="6"/>
      <c r="J28" s="15"/>
      <c r="K28" s="6"/>
    </row>
    <row r="29" spans="2:11" x14ac:dyDescent="0.25">
      <c r="B29" s="12">
        <v>40330</v>
      </c>
      <c r="C29" s="69">
        <f t="shared" si="0"/>
        <v>1.9990322580645161</v>
      </c>
      <c r="D29" s="72">
        <v>31</v>
      </c>
      <c r="E29" s="72">
        <v>61.97</v>
      </c>
      <c r="G29" s="6"/>
      <c r="I29" s="6"/>
      <c r="J29" s="14"/>
      <c r="K29" s="6"/>
    </row>
    <row r="30" spans="2:11" x14ac:dyDescent="0.25">
      <c r="B30" s="12">
        <v>40299</v>
      </c>
      <c r="C30" s="69">
        <f t="shared" si="0"/>
        <v>1.798971193415638</v>
      </c>
      <c r="D30" s="72">
        <v>48.6</v>
      </c>
      <c r="E30" s="72">
        <v>87.43</v>
      </c>
      <c r="G30" s="6"/>
      <c r="I30" s="6"/>
      <c r="J30" s="15"/>
      <c r="K30" s="6"/>
    </row>
    <row r="31" spans="2:11" x14ac:dyDescent="0.25">
      <c r="B31" s="12">
        <v>40269</v>
      </c>
      <c r="C31" s="69">
        <f t="shared" si="0"/>
        <v>1.7990135635018498</v>
      </c>
      <c r="D31" s="72">
        <v>81.099999999999994</v>
      </c>
      <c r="E31" s="72">
        <v>145.9</v>
      </c>
      <c r="G31" s="6"/>
      <c r="I31" s="6"/>
      <c r="J31" s="15"/>
      <c r="K31" s="6"/>
    </row>
    <row r="32" spans="2:11" x14ac:dyDescent="0.25">
      <c r="B32" s="12">
        <v>40238</v>
      </c>
      <c r="C32" s="69">
        <f t="shared" si="0"/>
        <v>1.7989999999999999</v>
      </c>
      <c r="D32" s="72">
        <v>160</v>
      </c>
      <c r="E32" s="72">
        <v>287.83999999999997</v>
      </c>
      <c r="G32" s="6"/>
      <c r="I32" s="6"/>
      <c r="J32" s="14"/>
      <c r="K32" s="6"/>
    </row>
    <row r="33" spans="2:11" x14ac:dyDescent="0.25">
      <c r="B33" s="12">
        <v>40210</v>
      </c>
      <c r="C33" s="69">
        <f t="shared" si="0"/>
        <v>0</v>
      </c>
      <c r="D33" s="72">
        <v>0</v>
      </c>
      <c r="E33" s="72"/>
      <c r="G33" s="6"/>
      <c r="I33" s="6"/>
      <c r="J33" s="14"/>
      <c r="K33" s="6"/>
    </row>
    <row r="34" spans="2:11" x14ac:dyDescent="0.25">
      <c r="B34" s="12">
        <v>40179</v>
      </c>
      <c r="C34" s="69">
        <f t="shared" si="0"/>
        <v>1.7990033222591362</v>
      </c>
      <c r="D34" s="72">
        <v>301</v>
      </c>
      <c r="E34" s="72">
        <v>541.5</v>
      </c>
      <c r="G34" s="6"/>
      <c r="I34" s="6"/>
      <c r="J34" s="14"/>
      <c r="K34" s="6"/>
    </row>
    <row r="35" spans="2:11" x14ac:dyDescent="0.25">
      <c r="B35" s="12">
        <v>40148</v>
      </c>
      <c r="C35" s="69">
        <f t="shared" si="0"/>
        <v>0</v>
      </c>
      <c r="D35" s="72">
        <v>0</v>
      </c>
      <c r="E35" s="72"/>
      <c r="G35" s="6"/>
      <c r="I35" s="6"/>
      <c r="J35" s="14"/>
      <c r="K35" s="6"/>
    </row>
    <row r="36" spans="2:11" x14ac:dyDescent="0.25">
      <c r="B36" s="12">
        <v>40118</v>
      </c>
      <c r="C36" s="69">
        <f t="shared" si="0"/>
        <v>0</v>
      </c>
      <c r="D36" s="72">
        <v>0</v>
      </c>
      <c r="E36" s="72"/>
      <c r="G36" s="6"/>
      <c r="I36" s="6"/>
      <c r="J36" s="14"/>
      <c r="K36" s="6"/>
    </row>
    <row r="37" spans="2:11" x14ac:dyDescent="0.25">
      <c r="B37" s="12">
        <v>40087</v>
      </c>
      <c r="C37" s="69">
        <f t="shared" si="0"/>
        <v>0</v>
      </c>
      <c r="D37" s="72">
        <v>0</v>
      </c>
      <c r="E37" s="72"/>
      <c r="G37" s="6"/>
      <c r="I37" s="6"/>
      <c r="J37" s="14"/>
    </row>
    <row r="38" spans="2:11" x14ac:dyDescent="0.25">
      <c r="B38" s="12">
        <v>40057</v>
      </c>
      <c r="C38" s="69">
        <f t="shared" si="0"/>
        <v>1.7990152193375111</v>
      </c>
      <c r="D38" s="72">
        <v>111.7</v>
      </c>
      <c r="E38" s="72">
        <v>200.95</v>
      </c>
      <c r="G38" s="6"/>
      <c r="I38" s="6"/>
      <c r="J38" s="14"/>
    </row>
    <row r="39" spans="2:11" x14ac:dyDescent="0.25">
      <c r="B39" s="12">
        <v>40026</v>
      </c>
      <c r="C39" s="69">
        <f t="shared" si="0"/>
        <v>0</v>
      </c>
      <c r="D39" s="72">
        <v>0</v>
      </c>
      <c r="E39" s="72"/>
      <c r="G39" s="6"/>
      <c r="I39" s="6"/>
      <c r="J39" s="14"/>
    </row>
    <row r="40" spans="2:11" x14ac:dyDescent="0.25">
      <c r="B40" s="12">
        <v>39995</v>
      </c>
      <c r="C40" s="69">
        <f t="shared" si="0"/>
        <v>0</v>
      </c>
      <c r="D40" s="72">
        <v>0</v>
      </c>
      <c r="E40" s="72"/>
      <c r="G40" s="6"/>
      <c r="I40" s="6"/>
      <c r="J40" s="14"/>
    </row>
    <row r="41" spans="2:11" x14ac:dyDescent="0.25">
      <c r="B41" s="12">
        <v>39965</v>
      </c>
      <c r="C41" s="69">
        <f t="shared" si="0"/>
        <v>0</v>
      </c>
      <c r="D41" s="72">
        <v>0</v>
      </c>
      <c r="E41" s="72"/>
      <c r="G41" s="6"/>
      <c r="I41" s="6"/>
      <c r="J41" s="14"/>
    </row>
    <row r="42" spans="2:11" x14ac:dyDescent="0.25">
      <c r="B42" s="12">
        <v>39934</v>
      </c>
      <c r="C42" s="69">
        <f t="shared" si="0"/>
        <v>1.9990439770554493</v>
      </c>
      <c r="D42" s="72">
        <v>104.6</v>
      </c>
      <c r="E42" s="72">
        <v>209.1</v>
      </c>
      <c r="G42" s="6"/>
      <c r="I42" s="6"/>
      <c r="J42" s="14"/>
    </row>
    <row r="43" spans="2:11" x14ac:dyDescent="0.25">
      <c r="B43" s="12">
        <v>39904</v>
      </c>
      <c r="C43" s="69">
        <f t="shared" si="0"/>
        <v>0</v>
      </c>
      <c r="D43" s="72">
        <v>0</v>
      </c>
      <c r="E43" s="72"/>
      <c r="G43" s="6"/>
      <c r="I43" s="6"/>
      <c r="J43" s="14"/>
    </row>
    <row r="44" spans="2:11" x14ac:dyDescent="0.25">
      <c r="B44" s="12">
        <v>39873</v>
      </c>
      <c r="C44" s="69">
        <f t="shared" si="0"/>
        <v>0</v>
      </c>
      <c r="D44" s="72">
        <v>0</v>
      </c>
      <c r="E44" s="72"/>
      <c r="G44" s="6"/>
      <c r="I44" s="6"/>
      <c r="J44" s="14"/>
    </row>
    <row r="45" spans="2:11" x14ac:dyDescent="0.25">
      <c r="B45" s="12">
        <v>39845</v>
      </c>
      <c r="C45" s="69">
        <f t="shared" si="0"/>
        <v>2.3493440541684301</v>
      </c>
      <c r="D45" s="72">
        <f>88.4+147.9</f>
        <v>236.3</v>
      </c>
      <c r="E45" s="72">
        <f>185.55+369.6</f>
        <v>555.15000000000009</v>
      </c>
      <c r="G45" s="6"/>
      <c r="I45" s="6"/>
      <c r="J45" s="14"/>
    </row>
    <row r="46" spans="2:11" x14ac:dyDescent="0.25">
      <c r="B46" s="12">
        <v>39814</v>
      </c>
      <c r="C46" s="69">
        <f t="shared" si="0"/>
        <v>2.4990418118466899</v>
      </c>
      <c r="D46" s="72">
        <v>114.8</v>
      </c>
      <c r="E46" s="72">
        <v>286.89</v>
      </c>
      <c r="G46" s="6"/>
      <c r="I46" s="6"/>
      <c r="J46" s="14"/>
    </row>
    <row r="47" spans="2:11" x14ac:dyDescent="0.25">
      <c r="B47" s="12">
        <v>39783</v>
      </c>
      <c r="C47" s="69">
        <f t="shared" si="0"/>
        <v>2.4990016638935106</v>
      </c>
      <c r="D47" s="72">
        <v>120.2</v>
      </c>
      <c r="E47" s="72">
        <v>300.38</v>
      </c>
      <c r="G47" s="6"/>
      <c r="I47" s="6"/>
      <c r="J47" s="14"/>
    </row>
    <row r="48" spans="2:11" x14ac:dyDescent="0.25">
      <c r="B48" s="12">
        <v>39753</v>
      </c>
      <c r="C48" s="69">
        <f t="shared" si="0"/>
        <v>0</v>
      </c>
      <c r="D48" s="72">
        <v>0</v>
      </c>
      <c r="E48" s="72"/>
      <c r="G48" s="6"/>
      <c r="I48" s="6"/>
      <c r="J48" s="14"/>
    </row>
    <row r="49" spans="2:10" x14ac:dyDescent="0.25">
      <c r="B49" s="12">
        <v>39722</v>
      </c>
      <c r="C49" s="69">
        <f t="shared" si="0"/>
        <v>0</v>
      </c>
      <c r="D49" s="72">
        <v>0</v>
      </c>
      <c r="E49" s="72"/>
      <c r="G49" s="6"/>
      <c r="I49" s="6"/>
      <c r="J49" s="14"/>
    </row>
    <row r="50" spans="2:10" x14ac:dyDescent="0.25">
      <c r="B50" s="12">
        <v>39692</v>
      </c>
      <c r="C50" s="69">
        <f t="shared" si="0"/>
        <v>2.4989329268292688</v>
      </c>
      <c r="D50" s="72">
        <v>65.599999999999994</v>
      </c>
      <c r="E50" s="72">
        <v>163.93</v>
      </c>
      <c r="G50" s="6"/>
      <c r="I50" s="6"/>
      <c r="J50" s="14"/>
    </row>
    <row r="51" spans="2:10" x14ac:dyDescent="0.25">
      <c r="B51" s="12">
        <v>39661</v>
      </c>
      <c r="C51" s="69">
        <f t="shared" si="0"/>
        <v>0</v>
      </c>
      <c r="D51" s="72">
        <v>0</v>
      </c>
      <c r="E51" s="72"/>
      <c r="G51" s="6"/>
      <c r="I51" s="6"/>
      <c r="J51" s="14"/>
    </row>
    <row r="52" spans="2:10" x14ac:dyDescent="0.25">
      <c r="B52" s="12">
        <v>39630</v>
      </c>
      <c r="C52" s="69">
        <f t="shared" si="0"/>
        <v>0</v>
      </c>
      <c r="D52" s="72">
        <v>0</v>
      </c>
      <c r="E52" s="72"/>
      <c r="G52" s="6"/>
      <c r="I52" s="6"/>
      <c r="J52" s="14"/>
    </row>
    <row r="53" spans="2:10" x14ac:dyDescent="0.25">
      <c r="B53" s="12">
        <v>39600</v>
      </c>
      <c r="C53" s="69">
        <f t="shared" si="0"/>
        <v>0</v>
      </c>
      <c r="D53" s="72">
        <v>0</v>
      </c>
      <c r="E53" s="72"/>
      <c r="G53" s="6"/>
      <c r="I53" s="6"/>
      <c r="J53" s="16"/>
    </row>
    <row r="54" spans="2:10" x14ac:dyDescent="0.25">
      <c r="B54" s="12">
        <v>39569</v>
      </c>
      <c r="C54" s="69">
        <f t="shared" si="0"/>
        <v>1.9990265486725662</v>
      </c>
      <c r="D54" s="72">
        <v>113</v>
      </c>
      <c r="E54" s="72">
        <v>225.89</v>
      </c>
      <c r="G54" s="6"/>
      <c r="I54" s="6"/>
      <c r="J54" s="16"/>
    </row>
    <row r="55" spans="2:10" x14ac:dyDescent="0.25">
      <c r="B55" s="12">
        <v>39539</v>
      </c>
      <c r="C55" s="69">
        <f t="shared" si="0"/>
        <v>0</v>
      </c>
      <c r="D55" s="72">
        <v>0</v>
      </c>
      <c r="E55" s="72"/>
      <c r="G55" s="6"/>
      <c r="I55" s="6"/>
      <c r="J55" s="16"/>
    </row>
    <row r="56" spans="2:10" x14ac:dyDescent="0.25">
      <c r="B56" s="12">
        <v>39508</v>
      </c>
      <c r="C56" s="69">
        <f t="shared" si="0"/>
        <v>1.9989893617021277</v>
      </c>
      <c r="D56" s="72">
        <v>188</v>
      </c>
      <c r="E56" s="72">
        <v>375.81</v>
      </c>
      <c r="G56" s="6"/>
      <c r="I56" s="6"/>
      <c r="J56" s="16"/>
    </row>
    <row r="57" spans="2:10" x14ac:dyDescent="0.25">
      <c r="B57" s="12">
        <v>39479</v>
      </c>
      <c r="C57" s="69">
        <f t="shared" si="0"/>
        <v>1.9990058479532162</v>
      </c>
      <c r="D57" s="72">
        <v>171</v>
      </c>
      <c r="E57" s="72">
        <v>341.83</v>
      </c>
      <c r="G57" s="6"/>
      <c r="I57" s="6"/>
      <c r="J57" s="16"/>
    </row>
    <row r="58" spans="2:10" x14ac:dyDescent="0.25">
      <c r="B58" s="12">
        <v>39448</v>
      </c>
      <c r="C58" s="69">
        <f t="shared" si="0"/>
        <v>1.9990243902439024</v>
      </c>
      <c r="D58" s="72">
        <v>123</v>
      </c>
      <c r="E58" s="72">
        <v>245.88</v>
      </c>
      <c r="G58" s="6"/>
      <c r="I58" s="6"/>
      <c r="J58" s="14"/>
    </row>
    <row r="59" spans="2:10" x14ac:dyDescent="0.25">
      <c r="B59" s="12">
        <v>39417</v>
      </c>
      <c r="C59" s="69">
        <f t="shared" si="0"/>
        <v>1.7489908256880733</v>
      </c>
      <c r="D59" s="72">
        <v>109</v>
      </c>
      <c r="E59" s="72">
        <v>190.64</v>
      </c>
      <c r="G59" s="6"/>
      <c r="I59" s="6"/>
      <c r="J59" s="14"/>
    </row>
    <row r="60" spans="2:10" x14ac:dyDescent="0.25">
      <c r="B60" s="12">
        <v>39387</v>
      </c>
      <c r="C60" s="69">
        <f t="shared" si="0"/>
        <v>1.7490140845070423</v>
      </c>
      <c r="D60" s="72">
        <v>142</v>
      </c>
      <c r="E60" s="72">
        <v>248.36</v>
      </c>
      <c r="G60" s="6"/>
      <c r="I60" s="6"/>
      <c r="J60" s="14"/>
    </row>
    <row r="61" spans="2:10" x14ac:dyDescent="0.25">
      <c r="B61" s="12">
        <v>39356</v>
      </c>
      <c r="C61" s="69">
        <f t="shared" si="0"/>
        <v>0</v>
      </c>
      <c r="D61" s="72">
        <v>0</v>
      </c>
      <c r="E61" s="72"/>
      <c r="G61" s="6"/>
      <c r="I61" s="6"/>
      <c r="J61" s="14"/>
    </row>
    <row r="62" spans="2:10" x14ac:dyDescent="0.25">
      <c r="B62" s="12">
        <v>39326</v>
      </c>
      <c r="C62" s="69">
        <f t="shared" si="0"/>
        <v>0</v>
      </c>
      <c r="D62" s="72">
        <v>0</v>
      </c>
      <c r="E62" s="72"/>
      <c r="G62" s="6"/>
      <c r="I62" s="6"/>
      <c r="J62" s="14"/>
    </row>
    <row r="63" spans="2:10" x14ac:dyDescent="0.25">
      <c r="B63" s="12">
        <v>39295</v>
      </c>
      <c r="C63" s="69">
        <f t="shared" si="0"/>
        <v>1.6490370370370371</v>
      </c>
      <c r="D63" s="72">
        <v>135</v>
      </c>
      <c r="E63" s="72">
        <v>222.62</v>
      </c>
      <c r="G63" s="6"/>
      <c r="I63" s="6"/>
      <c r="J63" s="14"/>
    </row>
    <row r="64" spans="2:10" x14ac:dyDescent="0.25">
      <c r="B64" s="12">
        <v>39264</v>
      </c>
      <c r="C64" s="69">
        <f t="shared" si="0"/>
        <v>0</v>
      </c>
      <c r="D64" s="72">
        <v>0</v>
      </c>
      <c r="E64" s="72"/>
      <c r="G64" s="6"/>
      <c r="I64" s="6"/>
      <c r="J64" s="14"/>
    </row>
    <row r="65" spans="2:10" x14ac:dyDescent="0.25">
      <c r="B65" s="12">
        <v>39234</v>
      </c>
      <c r="C65" s="69">
        <f t="shared" si="0"/>
        <v>0</v>
      </c>
      <c r="D65" s="72">
        <v>0</v>
      </c>
      <c r="E65" s="72"/>
      <c r="G65" s="6"/>
      <c r="I65" s="6"/>
      <c r="J65" s="14"/>
    </row>
    <row r="66" spans="2:10" x14ac:dyDescent="0.25">
      <c r="B66" s="12">
        <v>39203</v>
      </c>
      <c r="C66" s="69">
        <f t="shared" si="0"/>
        <v>0</v>
      </c>
      <c r="D66" s="72">
        <v>0</v>
      </c>
      <c r="E66" s="72"/>
      <c r="G66" s="6"/>
      <c r="I66" s="6"/>
      <c r="J66" s="14"/>
    </row>
    <row r="67" spans="2:10" x14ac:dyDescent="0.25">
      <c r="B67" s="12">
        <v>39173</v>
      </c>
      <c r="C67" s="69">
        <f t="shared" si="0"/>
        <v>1.6490384615384615</v>
      </c>
      <c r="D67" s="72">
        <v>104</v>
      </c>
      <c r="E67" s="72">
        <v>171.5</v>
      </c>
      <c r="G67" s="6"/>
      <c r="I67" s="6"/>
      <c r="J67" s="14"/>
    </row>
    <row r="68" spans="2:10" x14ac:dyDescent="0.25">
      <c r="B68" s="12">
        <v>39142</v>
      </c>
      <c r="C68" s="69">
        <f t="shared" si="0"/>
        <v>1.6490099009900991</v>
      </c>
      <c r="D68" s="72">
        <v>202</v>
      </c>
      <c r="E68" s="72">
        <v>333.1</v>
      </c>
      <c r="G68" s="6"/>
      <c r="I68" s="6"/>
      <c r="J68" s="14"/>
    </row>
    <row r="69" spans="2:10" x14ac:dyDescent="0.25">
      <c r="B69" s="12">
        <v>39114</v>
      </c>
      <c r="C69" s="69">
        <f t="shared" ref="C69:C70" si="1">IF(E69&gt;0,E69/D69,0)</f>
        <v>1.6490212765957446</v>
      </c>
      <c r="D69" s="72">
        <v>235</v>
      </c>
      <c r="E69" s="72">
        <v>387.52</v>
      </c>
      <c r="G69" s="6"/>
      <c r="I69" s="6"/>
      <c r="J69" s="14"/>
    </row>
    <row r="70" spans="2:10" x14ac:dyDescent="0.25">
      <c r="B70" s="12">
        <v>39083</v>
      </c>
      <c r="C70" s="69">
        <f t="shared" si="1"/>
        <v>0</v>
      </c>
      <c r="D70" s="72">
        <v>0</v>
      </c>
      <c r="E70" s="72"/>
      <c r="G70" s="6"/>
      <c r="I70" s="6"/>
      <c r="J70" s="14"/>
    </row>
    <row r="71" spans="2:10" x14ac:dyDescent="0.25">
      <c r="B71" s="17"/>
      <c r="G71" s="6"/>
      <c r="I71" s="6"/>
      <c r="J71" s="14"/>
    </row>
    <row r="72" spans="2:10" x14ac:dyDescent="0.25">
      <c r="B72" s="10" t="s">
        <v>6</v>
      </c>
      <c r="D72" s="28">
        <f>SUM(D4:D70)</f>
        <v>4503.0999999999995</v>
      </c>
      <c r="E72" s="3">
        <f>SUM(E4:E70)</f>
        <v>9016.6900000000023</v>
      </c>
      <c r="G72" s="6"/>
      <c r="I72" s="6"/>
      <c r="J72" s="14"/>
    </row>
    <row r="73" spans="2:10" x14ac:dyDescent="0.25">
      <c r="B73" s="17"/>
      <c r="G73" s="6"/>
      <c r="I73" s="6"/>
      <c r="J73" s="14"/>
    </row>
  </sheetData>
  <hyperlinks>
    <hyperlink ref="A1" location="a33772202" display="a33772202"/>
  </hyperlinks>
  <pageMargins left="0.7" right="0.7" top="0.75" bottom="0.75" header="0.3" footer="0.3"/>
  <pageSetup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2.75" x14ac:dyDescent="0.2"/>
  <cols>
    <col min="1" max="1" width="10.140625" style="17" bestFit="1" customWidth="1"/>
    <col min="2" max="2" width="11.140625" style="17" bestFit="1" customWidth="1"/>
    <col min="3" max="4" width="9.28515625" style="17" bestFit="1" customWidth="1"/>
    <col min="5" max="5" width="11.5703125" style="17" bestFit="1" customWidth="1"/>
    <col min="6" max="6" width="9.140625" style="17"/>
    <col min="7" max="7" width="15.140625" style="17" bestFit="1" customWidth="1"/>
    <col min="8" max="8" width="10" style="17" bestFit="1" customWidth="1"/>
    <col min="9" max="9" width="9.140625" style="17"/>
    <col min="10" max="10" width="5" style="17" bestFit="1" customWidth="1"/>
    <col min="11" max="11" width="14.28515625" style="17" bestFit="1" customWidth="1"/>
    <col min="12" max="16384" width="9.140625" style="17"/>
  </cols>
  <sheetData>
    <row r="1" spans="1:5" x14ac:dyDescent="0.2">
      <c r="A1" s="18">
        <v>30494</v>
      </c>
      <c r="B1" s="19" t="str">
        <f>Summary!C9</f>
        <v>613154   N 2</v>
      </c>
    </row>
    <row r="3" spans="1:5" ht="51" x14ac:dyDescent="0.2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">
      <c r="B4" s="12">
        <v>41091</v>
      </c>
      <c r="C4" s="69">
        <f>IF(E4&gt;0,E4/D4,0)</f>
        <v>2.2990224828934505</v>
      </c>
      <c r="D4" s="57">
        <v>204.6</v>
      </c>
      <c r="E4" s="57">
        <v>470.38</v>
      </c>
    </row>
    <row r="5" spans="1:5" x14ac:dyDescent="0.2">
      <c r="B5" s="12">
        <v>41061</v>
      </c>
      <c r="C5" s="69">
        <f t="shared" ref="C5:C68" si="0">IF(E5&gt;0,E5/D5,0)</f>
        <v>0</v>
      </c>
      <c r="D5" s="57">
        <v>0</v>
      </c>
      <c r="E5" s="57"/>
    </row>
    <row r="6" spans="1:5" x14ac:dyDescent="0.2">
      <c r="B6" s="12">
        <v>41030</v>
      </c>
      <c r="C6" s="69">
        <f t="shared" si="0"/>
        <v>0</v>
      </c>
      <c r="D6" s="57">
        <v>0</v>
      </c>
      <c r="E6" s="57"/>
    </row>
    <row r="7" spans="1:5" x14ac:dyDescent="0.2">
      <c r="B7" s="12">
        <v>41000</v>
      </c>
      <c r="C7" s="69">
        <f t="shared" si="0"/>
        <v>1.5346773520327237</v>
      </c>
      <c r="D7" s="57">
        <f>379.9+415+400+3</f>
        <v>1197.9000000000001</v>
      </c>
      <c r="E7" s="57">
        <f>873.39+415+400+150</f>
        <v>1838.3899999999999</v>
      </c>
    </row>
    <row r="8" spans="1:5" x14ac:dyDescent="0.2">
      <c r="B8" s="12">
        <v>40969</v>
      </c>
      <c r="C8" s="69">
        <f t="shared" si="0"/>
        <v>2.2990243902439027</v>
      </c>
      <c r="D8" s="57">
        <v>184.5</v>
      </c>
      <c r="E8" s="57">
        <v>424.17</v>
      </c>
    </row>
    <row r="9" spans="1:5" x14ac:dyDescent="0.2">
      <c r="B9" s="12">
        <v>40940</v>
      </c>
      <c r="C9" s="69">
        <f t="shared" si="0"/>
        <v>2.2990007267441861</v>
      </c>
      <c r="D9" s="57">
        <v>550.4</v>
      </c>
      <c r="E9" s="57">
        <v>1265.3699999999999</v>
      </c>
    </row>
    <row r="10" spans="1:5" x14ac:dyDescent="0.2">
      <c r="B10" s="12">
        <v>40909</v>
      </c>
      <c r="C10" s="69">
        <f t="shared" si="0"/>
        <v>2.2989940613258999</v>
      </c>
      <c r="D10" s="57">
        <v>825.1</v>
      </c>
      <c r="E10" s="57">
        <v>1896.9</v>
      </c>
    </row>
    <row r="11" spans="1:5" x14ac:dyDescent="0.2">
      <c r="B11" s="12">
        <v>40878</v>
      </c>
      <c r="C11" s="69">
        <f t="shared" si="0"/>
        <v>0</v>
      </c>
      <c r="D11" s="57">
        <v>0</v>
      </c>
      <c r="E11" s="57"/>
    </row>
    <row r="12" spans="1:5" x14ac:dyDescent="0.2">
      <c r="B12" s="12">
        <v>40848</v>
      </c>
      <c r="C12" s="69">
        <f t="shared" si="0"/>
        <v>2.2989977090492553</v>
      </c>
      <c r="D12" s="57">
        <v>349.2</v>
      </c>
      <c r="E12" s="57">
        <v>802.81</v>
      </c>
    </row>
    <row r="13" spans="1:5" x14ac:dyDescent="0.2">
      <c r="B13" s="12">
        <v>40817</v>
      </c>
      <c r="C13" s="69">
        <f t="shared" si="0"/>
        <v>0</v>
      </c>
      <c r="D13" s="57">
        <v>0</v>
      </c>
      <c r="E13" s="57"/>
    </row>
    <row r="14" spans="1:5" x14ac:dyDescent="0.2">
      <c r="B14" s="12">
        <v>40787</v>
      </c>
      <c r="C14" s="69">
        <f t="shared" si="0"/>
        <v>0</v>
      </c>
      <c r="D14" s="57">
        <v>0</v>
      </c>
      <c r="E14" s="57"/>
    </row>
    <row r="15" spans="1:5" x14ac:dyDescent="0.2">
      <c r="B15" s="12">
        <v>40756</v>
      </c>
      <c r="C15" s="69">
        <f t="shared" si="0"/>
        <v>1.9990141712877385</v>
      </c>
      <c r="D15" s="57">
        <v>324.60000000000002</v>
      </c>
      <c r="E15" s="57">
        <v>648.88</v>
      </c>
    </row>
    <row r="16" spans="1:5" x14ac:dyDescent="0.2">
      <c r="B16" s="12">
        <v>40725</v>
      </c>
      <c r="C16" s="69">
        <f t="shared" si="0"/>
        <v>0</v>
      </c>
      <c r="D16" s="57">
        <v>0</v>
      </c>
      <c r="E16" s="57"/>
    </row>
    <row r="17" spans="2:11" x14ac:dyDescent="0.2">
      <c r="B17" s="12">
        <v>40695</v>
      </c>
      <c r="C17" s="69">
        <f t="shared" si="0"/>
        <v>0</v>
      </c>
      <c r="D17" s="57">
        <v>0</v>
      </c>
      <c r="E17" s="57"/>
    </row>
    <row r="18" spans="2:11" x14ac:dyDescent="0.2">
      <c r="B18" s="12">
        <v>40664</v>
      </c>
      <c r="C18" s="69">
        <f t="shared" si="0"/>
        <v>1.998977751052315</v>
      </c>
      <c r="D18" s="57">
        <v>166.3</v>
      </c>
      <c r="E18" s="57">
        <v>332.43</v>
      </c>
    </row>
    <row r="19" spans="2:11" x14ac:dyDescent="0.2">
      <c r="B19" s="12">
        <v>40634</v>
      </c>
      <c r="C19" s="69">
        <f t="shared" si="0"/>
        <v>1.998991449243587</v>
      </c>
      <c r="D19" s="57">
        <v>456.1</v>
      </c>
      <c r="E19" s="57">
        <v>911.74</v>
      </c>
    </row>
    <row r="20" spans="2:11" x14ac:dyDescent="0.2">
      <c r="B20" s="12">
        <v>40603</v>
      </c>
      <c r="C20" s="69">
        <f t="shared" si="0"/>
        <v>0</v>
      </c>
      <c r="D20" s="57">
        <v>0</v>
      </c>
      <c r="E20" s="57"/>
      <c r="G20" s="20"/>
      <c r="H20" s="20"/>
      <c r="J20" s="20"/>
      <c r="K20" s="22"/>
    </row>
    <row r="21" spans="2:11" x14ac:dyDescent="0.2">
      <c r="B21" s="12">
        <v>40575</v>
      </c>
      <c r="C21" s="69">
        <f t="shared" si="0"/>
        <v>1.9990037787701822</v>
      </c>
      <c r="D21" s="72">
        <f>391.8+481.5</f>
        <v>873.3</v>
      </c>
      <c r="E21" s="72">
        <f>783.21+962.52</f>
        <v>1745.73</v>
      </c>
      <c r="G21" s="20"/>
      <c r="H21" s="20"/>
      <c r="J21" s="20"/>
      <c r="K21" s="22"/>
    </row>
    <row r="22" spans="2:11" x14ac:dyDescent="0.2">
      <c r="B22" s="12">
        <v>40544</v>
      </c>
      <c r="C22" s="69">
        <f t="shared" si="0"/>
        <v>1.9986963793781976</v>
      </c>
      <c r="D22" s="72">
        <v>406.56</v>
      </c>
      <c r="E22" s="72">
        <v>812.59</v>
      </c>
      <c r="G22" s="20"/>
      <c r="H22" s="20"/>
      <c r="J22" s="20"/>
      <c r="K22" s="22"/>
    </row>
    <row r="23" spans="2:11" x14ac:dyDescent="0.2">
      <c r="B23" s="12">
        <v>40513</v>
      </c>
      <c r="C23" s="69">
        <f t="shared" si="0"/>
        <v>1.9989965506428349</v>
      </c>
      <c r="D23" s="72">
        <v>637.79999999999995</v>
      </c>
      <c r="E23" s="72">
        <v>1274.96</v>
      </c>
      <c r="G23" s="20"/>
      <c r="H23" s="20"/>
      <c r="J23" s="20"/>
      <c r="K23" s="22"/>
    </row>
    <row r="24" spans="2:11" x14ac:dyDescent="0.2">
      <c r="B24" s="12">
        <v>40483</v>
      </c>
      <c r="C24" s="69">
        <f t="shared" si="0"/>
        <v>0</v>
      </c>
      <c r="D24" s="72">
        <v>0</v>
      </c>
      <c r="E24" s="72"/>
      <c r="G24" s="20"/>
      <c r="H24" s="20"/>
      <c r="J24" s="20"/>
      <c r="K24" s="22"/>
    </row>
    <row r="25" spans="2:11" x14ac:dyDescent="0.2">
      <c r="B25" s="12">
        <v>40452</v>
      </c>
      <c r="C25" s="69">
        <f t="shared" si="0"/>
        <v>0</v>
      </c>
      <c r="D25" s="72">
        <v>0</v>
      </c>
      <c r="E25" s="72"/>
      <c r="G25" s="20"/>
      <c r="H25" s="20"/>
      <c r="J25" s="20"/>
      <c r="K25" s="22"/>
    </row>
    <row r="26" spans="2:11" x14ac:dyDescent="0.2">
      <c r="B26" s="12">
        <v>40422</v>
      </c>
      <c r="C26" s="69">
        <f t="shared" si="0"/>
        <v>1.9990266060999353</v>
      </c>
      <c r="D26" s="72">
        <v>154.1</v>
      </c>
      <c r="E26" s="72">
        <v>308.05</v>
      </c>
      <c r="G26" s="20"/>
      <c r="H26" s="20"/>
      <c r="J26" s="20"/>
      <c r="K26" s="22"/>
    </row>
    <row r="27" spans="2:11" x14ac:dyDescent="0.2">
      <c r="B27" s="12">
        <v>40391</v>
      </c>
      <c r="C27" s="69">
        <f t="shared" si="0"/>
        <v>1.9989795918367348</v>
      </c>
      <c r="D27" s="72">
        <v>98</v>
      </c>
      <c r="E27" s="72">
        <v>195.9</v>
      </c>
      <c r="G27" s="20"/>
      <c r="H27" s="20"/>
      <c r="J27" s="20"/>
      <c r="K27" s="22"/>
    </row>
    <row r="28" spans="2:11" x14ac:dyDescent="0.2">
      <c r="B28" s="12">
        <v>40360</v>
      </c>
      <c r="C28" s="69">
        <f t="shared" si="0"/>
        <v>0</v>
      </c>
      <c r="D28" s="72">
        <v>0</v>
      </c>
      <c r="E28" s="72"/>
      <c r="G28" s="20"/>
      <c r="H28" s="20"/>
      <c r="J28" s="20"/>
      <c r="K28" s="22"/>
    </row>
    <row r="29" spans="2:11" x14ac:dyDescent="0.2">
      <c r="B29" s="12">
        <v>40330</v>
      </c>
      <c r="C29" s="69">
        <f t="shared" si="0"/>
        <v>1.9990375360923962</v>
      </c>
      <c r="D29" s="72">
        <v>103.9</v>
      </c>
      <c r="E29" s="72">
        <v>207.7</v>
      </c>
      <c r="G29" s="20"/>
      <c r="H29" s="20"/>
      <c r="J29" s="20"/>
      <c r="K29" s="22"/>
    </row>
    <row r="30" spans="2:11" x14ac:dyDescent="0.2">
      <c r="B30" s="12">
        <v>40299</v>
      </c>
      <c r="C30" s="69">
        <f t="shared" si="0"/>
        <v>1.7990223463687152</v>
      </c>
      <c r="D30" s="72">
        <v>143.19999999999999</v>
      </c>
      <c r="E30" s="72">
        <v>257.62</v>
      </c>
      <c r="G30" s="20"/>
      <c r="H30" s="20"/>
      <c r="J30" s="20"/>
      <c r="K30" s="22"/>
    </row>
    <row r="31" spans="2:11" x14ac:dyDescent="0.2">
      <c r="B31" s="12">
        <v>40269</v>
      </c>
      <c r="C31" s="69">
        <f t="shared" si="0"/>
        <v>1.7989940828402364</v>
      </c>
      <c r="D31" s="72">
        <v>169</v>
      </c>
      <c r="E31" s="72">
        <v>304.02999999999997</v>
      </c>
      <c r="G31" s="20"/>
      <c r="H31" s="20"/>
      <c r="J31" s="20"/>
      <c r="K31" s="22"/>
    </row>
    <row r="32" spans="2:11" x14ac:dyDescent="0.2">
      <c r="B32" s="12">
        <v>40238</v>
      </c>
      <c r="C32" s="69">
        <f t="shared" si="0"/>
        <v>1.7990018148820326</v>
      </c>
      <c r="D32" s="72">
        <v>440.8</v>
      </c>
      <c r="E32" s="72">
        <v>793</v>
      </c>
      <c r="G32" s="20"/>
      <c r="H32" s="20"/>
      <c r="J32" s="20"/>
      <c r="K32" s="22"/>
    </row>
    <row r="33" spans="2:12" x14ac:dyDescent="0.2">
      <c r="B33" s="12">
        <v>40210</v>
      </c>
      <c r="C33" s="69">
        <f t="shared" si="0"/>
        <v>1.7989971715093855</v>
      </c>
      <c r="D33" s="72">
        <v>388.9</v>
      </c>
      <c r="E33" s="72">
        <v>699.63</v>
      </c>
      <c r="G33" s="20"/>
      <c r="H33" s="20"/>
      <c r="J33" s="20"/>
      <c r="K33" s="22"/>
    </row>
    <row r="34" spans="2:12" x14ac:dyDescent="0.2">
      <c r="B34" s="12">
        <v>40179</v>
      </c>
      <c r="C34" s="69">
        <f t="shared" si="0"/>
        <v>1.7990001333155579</v>
      </c>
      <c r="D34" s="72">
        <f>219.9+530.2</f>
        <v>750.1</v>
      </c>
      <c r="E34" s="72">
        <f>395.6+953.83</f>
        <v>1349.43</v>
      </c>
      <c r="G34" s="20"/>
      <c r="H34" s="20"/>
      <c r="J34" s="20"/>
      <c r="K34" s="22"/>
    </row>
    <row r="35" spans="2:12" x14ac:dyDescent="0.2">
      <c r="B35" s="12">
        <v>40148</v>
      </c>
      <c r="C35" s="69">
        <f t="shared" si="0"/>
        <v>0</v>
      </c>
      <c r="D35" s="72">
        <v>0</v>
      </c>
      <c r="E35" s="72"/>
      <c r="G35" s="20"/>
      <c r="H35" s="20"/>
      <c r="J35" s="20"/>
      <c r="K35" s="22"/>
    </row>
    <row r="36" spans="2:12" x14ac:dyDescent="0.2">
      <c r="B36" s="12">
        <v>40118</v>
      </c>
      <c r="C36" s="69">
        <f t="shared" si="0"/>
        <v>1.7989992099025549</v>
      </c>
      <c r="D36" s="72">
        <v>379.7</v>
      </c>
      <c r="E36" s="72">
        <v>683.08</v>
      </c>
      <c r="G36" s="20"/>
      <c r="H36" s="20"/>
      <c r="J36" s="20"/>
      <c r="K36" s="21"/>
      <c r="L36" s="20"/>
    </row>
    <row r="37" spans="2:12" x14ac:dyDescent="0.2">
      <c r="B37" s="12">
        <v>40087</v>
      </c>
      <c r="C37" s="69">
        <f t="shared" si="0"/>
        <v>0</v>
      </c>
      <c r="D37" s="72">
        <v>0</v>
      </c>
      <c r="E37" s="72"/>
      <c r="G37" s="20"/>
      <c r="H37" s="20"/>
      <c r="J37" s="20"/>
      <c r="K37" s="21"/>
      <c r="L37" s="20"/>
    </row>
    <row r="38" spans="2:12" x14ac:dyDescent="0.2">
      <c r="B38" s="12">
        <v>40057</v>
      </c>
      <c r="C38" s="69">
        <f t="shared" si="0"/>
        <v>1.7989868891537544</v>
      </c>
      <c r="D38" s="72">
        <v>167.8</v>
      </c>
      <c r="E38" s="72">
        <v>301.87</v>
      </c>
      <c r="G38" s="20"/>
      <c r="H38" s="20"/>
      <c r="J38" s="20"/>
      <c r="K38" s="22"/>
      <c r="L38" s="20"/>
    </row>
    <row r="39" spans="2:12" x14ac:dyDescent="0.2">
      <c r="B39" s="12">
        <v>40026</v>
      </c>
      <c r="C39" s="69">
        <f t="shared" si="0"/>
        <v>1.698994787788533</v>
      </c>
      <c r="D39" s="72">
        <v>268.60000000000002</v>
      </c>
      <c r="E39" s="72">
        <v>456.35</v>
      </c>
      <c r="G39" s="20"/>
      <c r="H39" s="20"/>
      <c r="J39" s="20"/>
      <c r="K39" s="22"/>
      <c r="L39" s="20"/>
    </row>
    <row r="40" spans="2:12" x14ac:dyDescent="0.2">
      <c r="B40" s="12">
        <v>39995</v>
      </c>
      <c r="C40" s="69">
        <f t="shared" si="0"/>
        <v>1.6989929506545822</v>
      </c>
      <c r="D40" s="72">
        <v>198.6</v>
      </c>
      <c r="E40" s="72">
        <v>337.42</v>
      </c>
      <c r="G40" s="20"/>
      <c r="H40" s="20"/>
      <c r="J40" s="20"/>
      <c r="K40" s="22"/>
      <c r="L40" s="20"/>
    </row>
    <row r="41" spans="2:12" x14ac:dyDescent="0.2">
      <c r="B41" s="12">
        <v>39965</v>
      </c>
      <c r="C41" s="69">
        <f t="shared" si="0"/>
        <v>0</v>
      </c>
      <c r="D41" s="72">
        <v>0</v>
      </c>
      <c r="E41" s="72"/>
      <c r="G41" s="20"/>
      <c r="H41" s="20"/>
      <c r="J41" s="20"/>
      <c r="K41" s="22"/>
      <c r="L41" s="20"/>
    </row>
    <row r="42" spans="2:12" x14ac:dyDescent="0.2">
      <c r="B42" s="12">
        <v>39934</v>
      </c>
      <c r="C42" s="69">
        <f t="shared" si="0"/>
        <v>1.9989873417721518</v>
      </c>
      <c r="D42" s="72">
        <v>237</v>
      </c>
      <c r="E42" s="72">
        <v>473.76</v>
      </c>
      <c r="G42" s="20"/>
      <c r="H42" s="20"/>
      <c r="J42" s="20"/>
      <c r="K42" s="22"/>
      <c r="L42" s="20"/>
    </row>
    <row r="43" spans="2:12" x14ac:dyDescent="0.2">
      <c r="B43" s="12">
        <v>39904</v>
      </c>
      <c r="C43" s="69">
        <f t="shared" si="0"/>
        <v>0</v>
      </c>
      <c r="D43" s="72">
        <v>0</v>
      </c>
      <c r="E43" s="72"/>
      <c r="G43" s="20"/>
      <c r="H43" s="20"/>
      <c r="J43" s="20"/>
      <c r="K43" s="22"/>
      <c r="L43" s="20"/>
    </row>
    <row r="44" spans="2:12" x14ac:dyDescent="0.2">
      <c r="B44" s="12">
        <v>39873</v>
      </c>
      <c r="C44" s="69">
        <f t="shared" si="0"/>
        <v>1.9989955357142857</v>
      </c>
      <c r="D44" s="72">
        <v>448</v>
      </c>
      <c r="E44" s="72">
        <v>895.55</v>
      </c>
      <c r="G44" s="20"/>
      <c r="H44" s="20"/>
      <c r="J44" s="20"/>
      <c r="K44" s="21"/>
      <c r="L44" s="20"/>
    </row>
    <row r="45" spans="2:12" x14ac:dyDescent="0.2">
      <c r="B45" s="12">
        <v>39845</v>
      </c>
      <c r="C45" s="69">
        <f t="shared" si="0"/>
        <v>2.3597248792930672</v>
      </c>
      <c r="D45" s="72">
        <f>382.2+715.5</f>
        <v>1097.7</v>
      </c>
      <c r="E45" s="72">
        <f>802.24+1788.03</f>
        <v>2590.27</v>
      </c>
      <c r="G45" s="20"/>
      <c r="H45" s="20"/>
      <c r="J45" s="20"/>
      <c r="K45" s="21"/>
      <c r="L45" s="20"/>
    </row>
    <row r="46" spans="2:12" x14ac:dyDescent="0.2">
      <c r="B46" s="12">
        <v>39814</v>
      </c>
      <c r="C46" s="69">
        <f t="shared" si="0"/>
        <v>2.4989995742869304</v>
      </c>
      <c r="D46" s="72">
        <f>167+302.8</f>
        <v>469.8</v>
      </c>
      <c r="E46" s="72">
        <f>417.33+756.7</f>
        <v>1174.03</v>
      </c>
      <c r="G46" s="20"/>
      <c r="H46" s="20"/>
      <c r="J46" s="20"/>
      <c r="K46" s="21"/>
      <c r="L46" s="20"/>
    </row>
    <row r="47" spans="2:12" x14ac:dyDescent="0.2">
      <c r="B47" s="12">
        <v>39783</v>
      </c>
      <c r="C47" s="69">
        <f t="shared" si="0"/>
        <v>2.4990037695207326</v>
      </c>
      <c r="D47" s="72">
        <v>371.4</v>
      </c>
      <c r="E47" s="72">
        <v>928.13</v>
      </c>
      <c r="G47" s="20"/>
      <c r="H47" s="20"/>
      <c r="J47" s="20"/>
      <c r="K47" s="21"/>
      <c r="L47" s="20"/>
    </row>
    <row r="48" spans="2:12" x14ac:dyDescent="0.2">
      <c r="B48" s="12">
        <v>39753</v>
      </c>
      <c r="C48" s="69">
        <f t="shared" si="0"/>
        <v>2.4990004543389368</v>
      </c>
      <c r="D48" s="72">
        <v>220.1</v>
      </c>
      <c r="E48" s="72">
        <v>550.03</v>
      </c>
      <c r="G48" s="20"/>
      <c r="H48" s="20"/>
      <c r="J48" s="20"/>
      <c r="K48" s="21"/>
      <c r="L48" s="20"/>
    </row>
    <row r="49" spans="2:12" x14ac:dyDescent="0.2">
      <c r="B49" s="12">
        <v>39722</v>
      </c>
      <c r="C49" s="69">
        <f t="shared" si="0"/>
        <v>2.4989674344718029</v>
      </c>
      <c r="D49" s="72">
        <v>125.9</v>
      </c>
      <c r="E49" s="72">
        <v>314.62</v>
      </c>
      <c r="G49" s="20"/>
      <c r="H49" s="20"/>
      <c r="J49" s="20"/>
      <c r="K49" s="21"/>
      <c r="L49" s="20"/>
    </row>
    <row r="50" spans="2:12" x14ac:dyDescent="0.2">
      <c r="B50" s="12">
        <v>39692</v>
      </c>
      <c r="C50" s="69">
        <f t="shared" si="0"/>
        <v>0</v>
      </c>
      <c r="D50" s="72">
        <v>0</v>
      </c>
      <c r="E50" s="72"/>
      <c r="G50" s="20"/>
      <c r="H50" s="20"/>
      <c r="J50" s="20"/>
      <c r="K50" s="22"/>
      <c r="L50" s="20"/>
    </row>
    <row r="51" spans="2:12" x14ac:dyDescent="0.2">
      <c r="B51" s="12">
        <v>39661</v>
      </c>
      <c r="C51" s="69">
        <f t="shared" si="0"/>
        <v>2.8961153619776341</v>
      </c>
      <c r="D51" s="72">
        <v>169.9</v>
      </c>
      <c r="E51" s="72">
        <v>492.05</v>
      </c>
      <c r="G51" s="20"/>
      <c r="H51" s="20"/>
      <c r="J51" s="20"/>
      <c r="K51" s="22"/>
      <c r="L51" s="20"/>
    </row>
    <row r="52" spans="2:12" x14ac:dyDescent="0.2">
      <c r="B52" s="12">
        <v>39630</v>
      </c>
      <c r="C52" s="69">
        <f t="shared" si="0"/>
        <v>2.4990103675777569</v>
      </c>
      <c r="D52" s="72">
        <v>212.2</v>
      </c>
      <c r="E52" s="72">
        <v>530.29</v>
      </c>
      <c r="G52" s="20"/>
      <c r="H52" s="20"/>
      <c r="J52" s="20"/>
      <c r="K52" s="22"/>
      <c r="L52" s="20"/>
    </row>
    <row r="53" spans="2:12" x14ac:dyDescent="0.2">
      <c r="B53" s="12">
        <v>39600</v>
      </c>
      <c r="C53" s="69">
        <f t="shared" si="0"/>
        <v>1.9989823874755381</v>
      </c>
      <c r="D53" s="72">
        <v>255.5</v>
      </c>
      <c r="E53" s="72">
        <v>510.74</v>
      </c>
      <c r="G53" s="20"/>
      <c r="H53" s="20"/>
      <c r="J53" s="20"/>
      <c r="K53" s="22"/>
      <c r="L53" s="20"/>
    </row>
    <row r="54" spans="2:12" x14ac:dyDescent="0.2">
      <c r="B54" s="12">
        <v>39569</v>
      </c>
      <c r="C54" s="69">
        <f t="shared" si="0"/>
        <v>0</v>
      </c>
      <c r="D54" s="72">
        <v>0</v>
      </c>
      <c r="E54" s="72"/>
      <c r="G54" s="20"/>
      <c r="H54" s="20"/>
      <c r="J54" s="20"/>
      <c r="K54" s="22"/>
      <c r="L54" s="20"/>
    </row>
    <row r="55" spans="2:12" x14ac:dyDescent="0.2">
      <c r="B55" s="12">
        <v>39539</v>
      </c>
      <c r="C55" s="69">
        <f t="shared" si="0"/>
        <v>1.9990243902439024</v>
      </c>
      <c r="D55" s="72">
        <v>205</v>
      </c>
      <c r="E55" s="72">
        <v>409.8</v>
      </c>
      <c r="G55" s="20"/>
      <c r="H55" s="20"/>
      <c r="J55" s="20"/>
      <c r="K55" s="22"/>
      <c r="L55" s="20"/>
    </row>
    <row r="56" spans="2:12" x14ac:dyDescent="0.2">
      <c r="B56" s="12">
        <v>39508</v>
      </c>
      <c r="C56" s="69">
        <f t="shared" si="0"/>
        <v>1.9989981785063753</v>
      </c>
      <c r="D56" s="72">
        <v>549</v>
      </c>
      <c r="E56" s="72">
        <v>1097.45</v>
      </c>
      <c r="G56" s="20"/>
      <c r="H56" s="20"/>
      <c r="J56" s="20"/>
      <c r="K56" s="22"/>
      <c r="L56" s="20"/>
    </row>
    <row r="57" spans="2:12" x14ac:dyDescent="0.2">
      <c r="B57" s="12">
        <v>39479</v>
      </c>
      <c r="C57" s="69">
        <f t="shared" si="0"/>
        <v>1.9989930555555557</v>
      </c>
      <c r="D57" s="72">
        <v>576</v>
      </c>
      <c r="E57" s="72">
        <v>1151.42</v>
      </c>
      <c r="G57" s="20"/>
      <c r="H57" s="20"/>
      <c r="J57" s="20"/>
      <c r="K57" s="22"/>
      <c r="L57" s="20"/>
    </row>
    <row r="58" spans="2:12" x14ac:dyDescent="0.2">
      <c r="B58" s="12">
        <v>39448</v>
      </c>
      <c r="C58" s="69">
        <f t="shared" si="0"/>
        <v>1.998997555012225</v>
      </c>
      <c r="D58" s="72">
        <v>409</v>
      </c>
      <c r="E58" s="72">
        <v>817.59</v>
      </c>
      <c r="G58" s="20"/>
      <c r="H58" s="20"/>
      <c r="J58" s="20"/>
      <c r="K58" s="22"/>
      <c r="L58" s="20"/>
    </row>
    <row r="59" spans="2:12" x14ac:dyDescent="0.2">
      <c r="B59" s="12">
        <v>39417</v>
      </c>
      <c r="C59" s="69">
        <f t="shared" si="0"/>
        <v>1.7489932885906039</v>
      </c>
      <c r="D59" s="72">
        <v>447</v>
      </c>
      <c r="E59" s="72">
        <v>781.8</v>
      </c>
      <c r="G59" s="20"/>
      <c r="H59" s="20"/>
      <c r="J59" s="20"/>
      <c r="K59" s="22"/>
      <c r="L59" s="20"/>
    </row>
    <row r="60" spans="2:12" x14ac:dyDescent="0.2">
      <c r="B60" s="12">
        <v>39387</v>
      </c>
      <c r="C60" s="69">
        <f t="shared" si="0"/>
        <v>1.7490080428954424</v>
      </c>
      <c r="D60" s="72">
        <v>373</v>
      </c>
      <c r="E60" s="72">
        <v>652.38</v>
      </c>
      <c r="G60" s="20"/>
      <c r="H60" s="20"/>
      <c r="J60" s="20"/>
      <c r="K60" s="21"/>
      <c r="L60" s="20"/>
    </row>
    <row r="61" spans="2:12" x14ac:dyDescent="0.2">
      <c r="B61" s="12">
        <v>39356</v>
      </c>
      <c r="C61" s="69">
        <f t="shared" si="0"/>
        <v>0</v>
      </c>
      <c r="D61" s="72">
        <v>0</v>
      </c>
      <c r="E61" s="72"/>
      <c r="G61" s="20"/>
      <c r="H61" s="20"/>
      <c r="J61" s="20"/>
      <c r="K61" s="22"/>
      <c r="L61" s="20"/>
    </row>
    <row r="62" spans="2:12" x14ac:dyDescent="0.2">
      <c r="B62" s="12">
        <v>39326</v>
      </c>
      <c r="C62" s="69">
        <f t="shared" si="0"/>
        <v>0</v>
      </c>
      <c r="D62" s="72">
        <v>0</v>
      </c>
      <c r="E62" s="72"/>
      <c r="G62" s="20"/>
      <c r="H62" s="20"/>
      <c r="J62" s="20"/>
      <c r="K62" s="22"/>
      <c r="L62" s="20"/>
    </row>
    <row r="63" spans="2:12" x14ac:dyDescent="0.2">
      <c r="B63" s="12">
        <v>39295</v>
      </c>
      <c r="C63" s="69">
        <f t="shared" si="0"/>
        <v>1.7489915966386553</v>
      </c>
      <c r="D63" s="72">
        <v>238</v>
      </c>
      <c r="E63" s="72">
        <v>416.26</v>
      </c>
      <c r="G63" s="20"/>
      <c r="H63" s="20"/>
      <c r="J63" s="20"/>
      <c r="K63" s="22"/>
      <c r="L63" s="20"/>
    </row>
    <row r="64" spans="2:12" x14ac:dyDescent="0.2">
      <c r="B64" s="12">
        <v>39264</v>
      </c>
      <c r="C64" s="69">
        <f t="shared" si="0"/>
        <v>1.649</v>
      </c>
      <c r="D64" s="72">
        <v>250</v>
      </c>
      <c r="E64" s="72">
        <v>412.25</v>
      </c>
      <c r="G64" s="20"/>
      <c r="H64" s="20"/>
      <c r="J64" s="20"/>
      <c r="K64" s="22"/>
      <c r="L64" s="20"/>
    </row>
    <row r="65" spans="2:12" x14ac:dyDescent="0.2">
      <c r="B65" s="12">
        <v>39234</v>
      </c>
      <c r="C65" s="69">
        <f t="shared" si="0"/>
        <v>0</v>
      </c>
      <c r="D65" s="72">
        <v>0</v>
      </c>
      <c r="E65" s="72"/>
      <c r="G65" s="20"/>
      <c r="H65" s="20"/>
      <c r="J65" s="20"/>
      <c r="K65" s="22"/>
      <c r="L65" s="20"/>
    </row>
    <row r="66" spans="2:12" x14ac:dyDescent="0.2">
      <c r="B66" s="12">
        <v>39203</v>
      </c>
      <c r="C66" s="69">
        <f t="shared" si="0"/>
        <v>0</v>
      </c>
      <c r="D66" s="72">
        <v>0</v>
      </c>
      <c r="E66" s="72"/>
      <c r="G66" s="20"/>
      <c r="H66" s="20"/>
      <c r="J66" s="20"/>
      <c r="K66" s="22"/>
      <c r="L66" s="20"/>
    </row>
    <row r="67" spans="2:12" x14ac:dyDescent="0.2">
      <c r="B67" s="12">
        <v>39173</v>
      </c>
      <c r="C67" s="69">
        <f t="shared" si="0"/>
        <v>1.649018691588785</v>
      </c>
      <c r="D67" s="72">
        <v>214</v>
      </c>
      <c r="E67" s="72">
        <v>352.89</v>
      </c>
      <c r="G67" s="20"/>
      <c r="H67" s="20"/>
      <c r="J67" s="20"/>
      <c r="K67" s="22"/>
      <c r="L67" s="20"/>
    </row>
    <row r="68" spans="2:12" x14ac:dyDescent="0.2">
      <c r="B68" s="12">
        <v>39142</v>
      </c>
      <c r="C68" s="69">
        <f t="shared" si="0"/>
        <v>1.649010101010101</v>
      </c>
      <c r="D68" s="72">
        <v>495</v>
      </c>
      <c r="E68" s="72">
        <v>816.26</v>
      </c>
      <c r="G68" s="20"/>
      <c r="H68" s="20"/>
      <c r="J68" s="20"/>
      <c r="K68" s="22"/>
      <c r="L68" s="20"/>
    </row>
    <row r="69" spans="2:12" x14ac:dyDescent="0.2">
      <c r="B69" s="12">
        <v>39114</v>
      </c>
      <c r="C69" s="69">
        <f t="shared" ref="C69:C70" si="1">IF(E69&gt;0,E69/D69,0)</f>
        <v>1.6490065359477124</v>
      </c>
      <c r="D69" s="72">
        <v>765</v>
      </c>
      <c r="E69" s="72">
        <v>1261.49</v>
      </c>
      <c r="G69" s="20"/>
      <c r="H69" s="20"/>
      <c r="J69" s="20"/>
      <c r="K69" s="22"/>
      <c r="L69" s="20"/>
    </row>
    <row r="70" spans="2:12" x14ac:dyDescent="0.2">
      <c r="B70" s="12">
        <v>39083</v>
      </c>
      <c r="C70" s="69">
        <f t="shared" si="1"/>
        <v>0</v>
      </c>
      <c r="D70" s="72">
        <v>0</v>
      </c>
      <c r="E70" s="72"/>
      <c r="G70" s="20"/>
      <c r="H70" s="20"/>
      <c r="J70" s="20"/>
      <c r="K70" s="22"/>
      <c r="L70" s="20"/>
    </row>
    <row r="72" spans="2:12" ht="15" x14ac:dyDescent="0.25">
      <c r="B72" s="10" t="s">
        <v>6</v>
      </c>
      <c r="C72"/>
      <c r="D72" s="28">
        <f>SUM(D4:D70)</f>
        <v>17567.560000000001</v>
      </c>
      <c r="E72" s="3">
        <f>SUM(E4:E70)</f>
        <v>34947.49</v>
      </c>
    </row>
  </sheetData>
  <hyperlinks>
    <hyperlink ref="A1" location="a34863949" display="a34863949"/>
  </hyperlinks>
  <pageMargins left="0.7" right="0.7" top="0.75" bottom="0.75" header="0.3" footer="0.3"/>
  <pageSetup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2.75" x14ac:dyDescent="0.2"/>
  <cols>
    <col min="1" max="1" width="10.140625" style="17" bestFit="1" customWidth="1"/>
    <col min="2" max="2" width="11.140625" style="17" bestFit="1" customWidth="1"/>
    <col min="3" max="4" width="9.28515625" style="17" bestFit="1" customWidth="1"/>
    <col min="5" max="5" width="10.5703125" style="17" bestFit="1" customWidth="1"/>
    <col min="6" max="6" width="7.5703125" style="17" bestFit="1" customWidth="1"/>
    <col min="7" max="7" width="7" style="17" bestFit="1" customWidth="1"/>
    <col min="8" max="8" width="5" style="17" bestFit="1" customWidth="1"/>
    <col min="9" max="9" width="10.140625" style="17" bestFit="1" customWidth="1"/>
    <col min="10" max="10" width="6" style="17" bestFit="1" customWidth="1"/>
    <col min="11" max="16384" width="9.140625" style="17"/>
  </cols>
  <sheetData>
    <row r="1" spans="1:5" x14ac:dyDescent="0.2">
      <c r="A1" s="18">
        <v>30495</v>
      </c>
      <c r="B1" s="19" t="str">
        <f>Summary!C10</f>
        <v>601496   15-NC 9</v>
      </c>
    </row>
    <row r="3" spans="1:5" ht="51" x14ac:dyDescent="0.2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">
      <c r="B4" s="12">
        <v>41091</v>
      </c>
      <c r="C4" s="69">
        <f>IF(E4&gt;0,E4/D4,0)</f>
        <v>2.299016641452345</v>
      </c>
      <c r="D4" s="57">
        <v>132.19999999999999</v>
      </c>
      <c r="E4" s="57">
        <v>303.93</v>
      </c>
    </row>
    <row r="5" spans="1:5" x14ac:dyDescent="0.2">
      <c r="B5" s="12">
        <v>41061</v>
      </c>
      <c r="C5" s="69">
        <f t="shared" ref="C5:C68" si="0">IF(E5&gt;0,E5/D5,0)</f>
        <v>0</v>
      </c>
      <c r="D5" s="57">
        <v>0</v>
      </c>
      <c r="E5" s="57"/>
    </row>
    <row r="6" spans="1:5" x14ac:dyDescent="0.2">
      <c r="B6" s="12">
        <v>41030</v>
      </c>
      <c r="C6" s="69">
        <f t="shared" si="0"/>
        <v>0</v>
      </c>
      <c r="D6" s="57">
        <v>0</v>
      </c>
      <c r="E6" s="57"/>
    </row>
    <row r="7" spans="1:5" x14ac:dyDescent="0.2">
      <c r="B7" s="12">
        <v>41000</v>
      </c>
      <c r="C7" s="69">
        <f t="shared" si="0"/>
        <v>0</v>
      </c>
      <c r="D7" s="57">
        <v>0</v>
      </c>
      <c r="E7" s="57"/>
    </row>
    <row r="8" spans="1:5" x14ac:dyDescent="0.2">
      <c r="B8" s="12">
        <v>40969</v>
      </c>
      <c r="C8" s="69">
        <f t="shared" si="0"/>
        <v>0</v>
      </c>
      <c r="D8" s="57">
        <v>0</v>
      </c>
      <c r="E8" s="57"/>
    </row>
    <row r="9" spans="1:5" x14ac:dyDescent="0.2">
      <c r="B9" s="12">
        <v>40940</v>
      </c>
      <c r="C9" s="69">
        <f t="shared" si="0"/>
        <v>0</v>
      </c>
      <c r="D9" s="57">
        <v>0</v>
      </c>
      <c r="E9" s="57"/>
    </row>
    <row r="10" spans="1:5" x14ac:dyDescent="0.2">
      <c r="B10" s="12">
        <v>40909</v>
      </c>
      <c r="C10" s="69">
        <f t="shared" si="0"/>
        <v>0</v>
      </c>
      <c r="D10" s="57">
        <v>0</v>
      </c>
      <c r="E10" s="57"/>
    </row>
    <row r="11" spans="1:5" x14ac:dyDescent="0.2">
      <c r="B11" s="12">
        <v>40878</v>
      </c>
      <c r="C11" s="69">
        <f t="shared" si="0"/>
        <v>0</v>
      </c>
      <c r="D11" s="57">
        <v>0</v>
      </c>
      <c r="E11" s="57"/>
    </row>
    <row r="12" spans="1:5" x14ac:dyDescent="0.2">
      <c r="B12" s="12">
        <v>40848</v>
      </c>
      <c r="C12" s="69">
        <f t="shared" si="0"/>
        <v>0</v>
      </c>
      <c r="D12" s="57">
        <v>0</v>
      </c>
      <c r="E12" s="57"/>
    </row>
    <row r="13" spans="1:5" x14ac:dyDescent="0.2">
      <c r="B13" s="12">
        <v>40817</v>
      </c>
      <c r="C13" s="69">
        <f t="shared" si="0"/>
        <v>0</v>
      </c>
      <c r="D13" s="57">
        <v>0</v>
      </c>
      <c r="E13" s="57"/>
    </row>
    <row r="14" spans="1:5" x14ac:dyDescent="0.2">
      <c r="B14" s="12">
        <v>40787</v>
      </c>
      <c r="C14" s="69">
        <f t="shared" si="0"/>
        <v>0</v>
      </c>
      <c r="D14" s="57">
        <v>0</v>
      </c>
      <c r="E14" s="57"/>
    </row>
    <row r="15" spans="1:5" x14ac:dyDescent="0.2">
      <c r="B15" s="12">
        <v>40756</v>
      </c>
      <c r="C15" s="69">
        <f t="shared" si="0"/>
        <v>1.9989782886334613</v>
      </c>
      <c r="D15" s="57">
        <v>156.6</v>
      </c>
      <c r="E15" s="57">
        <v>313.04000000000002</v>
      </c>
    </row>
    <row r="16" spans="1:5" x14ac:dyDescent="0.2">
      <c r="B16" s="12">
        <v>40725</v>
      </c>
      <c r="C16" s="69">
        <f t="shared" si="0"/>
        <v>0</v>
      </c>
      <c r="D16" s="57">
        <v>0</v>
      </c>
      <c r="E16" s="57"/>
    </row>
    <row r="17" spans="2:9" x14ac:dyDescent="0.2">
      <c r="B17" s="12">
        <v>40695</v>
      </c>
      <c r="C17" s="69">
        <f t="shared" si="0"/>
        <v>0</v>
      </c>
      <c r="D17" s="57">
        <v>0</v>
      </c>
      <c r="E17" s="57"/>
    </row>
    <row r="18" spans="2:9" x14ac:dyDescent="0.2">
      <c r="B18" s="12">
        <v>40664</v>
      </c>
      <c r="C18" s="69">
        <f t="shared" si="0"/>
        <v>0</v>
      </c>
      <c r="D18" s="57">
        <v>0</v>
      </c>
      <c r="E18" s="57"/>
    </row>
    <row r="19" spans="2:9" x14ac:dyDescent="0.2">
      <c r="B19" s="12">
        <v>40634</v>
      </c>
      <c r="C19" s="69">
        <f t="shared" si="0"/>
        <v>0</v>
      </c>
      <c r="D19" s="57">
        <v>0</v>
      </c>
      <c r="E19" s="57"/>
    </row>
    <row r="20" spans="2:9" x14ac:dyDescent="0.2">
      <c r="B20" s="12">
        <v>40603</v>
      </c>
      <c r="C20" s="69">
        <f t="shared" si="0"/>
        <v>0</v>
      </c>
      <c r="D20" s="57">
        <v>0</v>
      </c>
      <c r="E20" s="57"/>
      <c r="F20" s="20"/>
      <c r="H20" s="20"/>
      <c r="I20" s="22"/>
    </row>
    <row r="21" spans="2:9" x14ac:dyDescent="0.2">
      <c r="B21" s="12">
        <v>40575</v>
      </c>
      <c r="C21" s="69">
        <f t="shared" si="0"/>
        <v>0</v>
      </c>
      <c r="D21" s="73">
        <v>0</v>
      </c>
      <c r="E21" s="73"/>
      <c r="F21" s="20"/>
      <c r="H21" s="20"/>
      <c r="I21" s="21"/>
    </row>
    <row r="22" spans="2:9" x14ac:dyDescent="0.2">
      <c r="B22" s="12">
        <v>40544</v>
      </c>
      <c r="C22" s="69">
        <f t="shared" si="0"/>
        <v>0</v>
      </c>
      <c r="D22" s="73">
        <v>0</v>
      </c>
      <c r="E22" s="73"/>
      <c r="F22" s="20"/>
      <c r="H22" s="20"/>
      <c r="I22" s="21"/>
    </row>
    <row r="23" spans="2:9" x14ac:dyDescent="0.2">
      <c r="B23" s="12">
        <v>40513</v>
      </c>
      <c r="C23" s="69">
        <f t="shared" si="0"/>
        <v>0</v>
      </c>
      <c r="D23" s="73">
        <v>0</v>
      </c>
      <c r="E23" s="73"/>
      <c r="F23" s="20"/>
      <c r="H23" s="20"/>
      <c r="I23" s="22"/>
    </row>
    <row r="24" spans="2:9" x14ac:dyDescent="0.2">
      <c r="B24" s="12">
        <v>40483</v>
      </c>
      <c r="C24" s="69">
        <f t="shared" si="0"/>
        <v>0</v>
      </c>
      <c r="D24" s="73">
        <v>0</v>
      </c>
      <c r="E24" s="73"/>
      <c r="F24" s="20"/>
      <c r="H24" s="20"/>
      <c r="I24" s="22"/>
    </row>
    <row r="25" spans="2:9" x14ac:dyDescent="0.2">
      <c r="B25" s="12">
        <v>40452</v>
      </c>
      <c r="C25" s="69">
        <f t="shared" si="0"/>
        <v>0</v>
      </c>
      <c r="D25" s="73">
        <v>0</v>
      </c>
      <c r="E25" s="73"/>
      <c r="F25" s="20"/>
      <c r="H25" s="20"/>
      <c r="I25" s="22"/>
    </row>
    <row r="26" spans="2:9" x14ac:dyDescent="0.2">
      <c r="B26" s="12">
        <v>40422</v>
      </c>
      <c r="C26" s="69">
        <f t="shared" si="0"/>
        <v>1.9990203466465712</v>
      </c>
      <c r="D26" s="73">
        <v>132.69999999999999</v>
      </c>
      <c r="E26" s="73">
        <v>265.27</v>
      </c>
      <c r="F26" s="20"/>
      <c r="H26" s="20"/>
      <c r="I26" s="22"/>
    </row>
    <row r="27" spans="2:9" x14ac:dyDescent="0.2">
      <c r="B27" s="12">
        <v>40391</v>
      </c>
      <c r="C27" s="69">
        <f t="shared" si="0"/>
        <v>0</v>
      </c>
      <c r="D27" s="73">
        <v>0</v>
      </c>
      <c r="E27" s="73"/>
      <c r="F27" s="20"/>
      <c r="H27" s="20"/>
      <c r="I27" s="22"/>
    </row>
    <row r="28" spans="2:9" x14ac:dyDescent="0.2">
      <c r="B28" s="12">
        <v>40360</v>
      </c>
      <c r="C28" s="69">
        <f t="shared" si="0"/>
        <v>1.9989619377162633</v>
      </c>
      <c r="D28" s="73">
        <v>57.8</v>
      </c>
      <c r="E28" s="73">
        <v>115.54</v>
      </c>
      <c r="F28" s="20"/>
      <c r="H28" s="20"/>
      <c r="I28" s="22"/>
    </row>
    <row r="29" spans="2:9" x14ac:dyDescent="0.2">
      <c r="B29" s="12">
        <v>40330</v>
      </c>
      <c r="C29" s="69">
        <f t="shared" si="0"/>
        <v>0</v>
      </c>
      <c r="D29" s="73">
        <v>0</v>
      </c>
      <c r="E29" s="73"/>
      <c r="F29" s="20"/>
      <c r="H29" s="20"/>
      <c r="I29" s="22"/>
    </row>
    <row r="30" spans="2:9" x14ac:dyDescent="0.2">
      <c r="B30" s="12">
        <v>40299</v>
      </c>
      <c r="C30" s="69">
        <f t="shared" si="0"/>
        <v>0</v>
      </c>
      <c r="D30" s="73">
        <v>0</v>
      </c>
      <c r="E30" s="73"/>
      <c r="F30" s="20"/>
      <c r="H30" s="20"/>
      <c r="I30" s="22"/>
    </row>
    <row r="31" spans="2:9" x14ac:dyDescent="0.2">
      <c r="B31" s="12">
        <v>40269</v>
      </c>
      <c r="C31" s="69">
        <f t="shared" si="0"/>
        <v>0</v>
      </c>
      <c r="D31" s="73">
        <v>0</v>
      </c>
      <c r="E31" s="73"/>
      <c r="F31" s="20"/>
      <c r="H31" s="20"/>
      <c r="I31" s="22"/>
    </row>
    <row r="32" spans="2:9" x14ac:dyDescent="0.2">
      <c r="B32" s="12">
        <v>40238</v>
      </c>
      <c r="C32" s="69">
        <f t="shared" si="0"/>
        <v>0</v>
      </c>
      <c r="D32" s="73">
        <v>0</v>
      </c>
      <c r="E32" s="73"/>
      <c r="F32" s="20"/>
      <c r="H32" s="20"/>
      <c r="I32" s="22"/>
    </row>
    <row r="33" spans="2:9" x14ac:dyDescent="0.2">
      <c r="B33" s="12">
        <v>40210</v>
      </c>
      <c r="C33" s="69">
        <f t="shared" si="0"/>
        <v>0</v>
      </c>
      <c r="D33" s="73">
        <v>0</v>
      </c>
      <c r="E33" s="73"/>
      <c r="F33" s="20"/>
      <c r="H33" s="20"/>
      <c r="I33" s="22"/>
    </row>
    <row r="34" spans="2:9" x14ac:dyDescent="0.2">
      <c r="B34" s="12">
        <v>40179</v>
      </c>
      <c r="C34" s="69">
        <f t="shared" si="0"/>
        <v>0</v>
      </c>
      <c r="D34" s="73">
        <v>0</v>
      </c>
      <c r="E34" s="73"/>
      <c r="F34" s="20"/>
      <c r="H34" s="20"/>
      <c r="I34" s="22"/>
    </row>
    <row r="35" spans="2:9" x14ac:dyDescent="0.2">
      <c r="B35" s="12">
        <v>40148</v>
      </c>
      <c r="C35" s="69">
        <f t="shared" si="0"/>
        <v>0</v>
      </c>
      <c r="D35" s="73">
        <v>0</v>
      </c>
      <c r="E35" s="73"/>
      <c r="F35" s="20"/>
      <c r="H35" s="20"/>
      <c r="I35" s="22"/>
    </row>
    <row r="36" spans="2:9" x14ac:dyDescent="0.2">
      <c r="B36" s="12">
        <v>40118</v>
      </c>
      <c r="C36" s="69">
        <f t="shared" si="0"/>
        <v>0</v>
      </c>
      <c r="D36" s="73">
        <v>0</v>
      </c>
      <c r="E36" s="73"/>
      <c r="F36" s="20"/>
      <c r="H36" s="20"/>
      <c r="I36" s="22"/>
    </row>
    <row r="37" spans="2:9" x14ac:dyDescent="0.2">
      <c r="B37" s="12">
        <v>40087</v>
      </c>
      <c r="C37" s="69">
        <f t="shared" si="0"/>
        <v>0</v>
      </c>
      <c r="D37" s="73">
        <v>0</v>
      </c>
      <c r="E37" s="73"/>
      <c r="F37" s="20"/>
      <c r="H37" s="20"/>
      <c r="I37" s="22"/>
    </row>
    <row r="38" spans="2:9" x14ac:dyDescent="0.2">
      <c r="B38" s="12">
        <v>40057</v>
      </c>
      <c r="C38" s="69">
        <f t="shared" si="0"/>
        <v>1.798956356736243</v>
      </c>
      <c r="D38" s="73">
        <v>105.4</v>
      </c>
      <c r="E38" s="73">
        <v>189.61</v>
      </c>
      <c r="F38" s="20"/>
      <c r="H38" s="20"/>
      <c r="I38" s="22"/>
    </row>
    <row r="39" spans="2:9" x14ac:dyDescent="0.2">
      <c r="B39" s="12">
        <v>40026</v>
      </c>
      <c r="C39" s="69">
        <f t="shared" si="0"/>
        <v>0</v>
      </c>
      <c r="D39" s="73">
        <v>0</v>
      </c>
      <c r="E39" s="73"/>
      <c r="F39" s="20"/>
      <c r="H39" s="20"/>
      <c r="I39" s="22"/>
    </row>
    <row r="40" spans="2:9" x14ac:dyDescent="0.2">
      <c r="B40" s="12">
        <v>39995</v>
      </c>
      <c r="C40" s="69">
        <f t="shared" si="0"/>
        <v>1.6990314769975785</v>
      </c>
      <c r="D40" s="73">
        <v>123.9</v>
      </c>
      <c r="E40" s="73">
        <v>210.51</v>
      </c>
      <c r="F40" s="20"/>
      <c r="H40" s="20"/>
      <c r="I40" s="22"/>
    </row>
    <row r="41" spans="2:9" x14ac:dyDescent="0.2">
      <c r="B41" s="12">
        <v>39965</v>
      </c>
      <c r="C41" s="69">
        <f t="shared" si="0"/>
        <v>0</v>
      </c>
      <c r="D41" s="73">
        <v>0</v>
      </c>
      <c r="E41" s="73"/>
      <c r="F41" s="20"/>
      <c r="H41" s="20"/>
      <c r="I41" s="22"/>
    </row>
    <row r="42" spans="2:9" x14ac:dyDescent="0.2">
      <c r="B42" s="12">
        <v>39934</v>
      </c>
      <c r="C42" s="69">
        <f t="shared" si="0"/>
        <v>0</v>
      </c>
      <c r="D42" s="73">
        <v>0</v>
      </c>
      <c r="E42" s="73"/>
      <c r="F42" s="20"/>
      <c r="H42" s="20"/>
      <c r="I42" s="22"/>
    </row>
    <row r="43" spans="2:9" x14ac:dyDescent="0.2">
      <c r="B43" s="12">
        <v>39904</v>
      </c>
      <c r="C43" s="69">
        <f t="shared" si="0"/>
        <v>0</v>
      </c>
      <c r="D43" s="73">
        <v>0</v>
      </c>
      <c r="E43" s="73"/>
      <c r="F43" s="20"/>
      <c r="H43" s="20"/>
      <c r="I43" s="22"/>
    </row>
    <row r="44" spans="2:9" x14ac:dyDescent="0.2">
      <c r="B44" s="12">
        <v>39873</v>
      </c>
      <c r="C44" s="69">
        <f t="shared" si="0"/>
        <v>0</v>
      </c>
      <c r="D44" s="73">
        <v>0</v>
      </c>
      <c r="E44" s="73"/>
      <c r="F44" s="20"/>
      <c r="H44" s="20"/>
      <c r="I44" s="22"/>
    </row>
    <row r="45" spans="2:9" x14ac:dyDescent="0.2">
      <c r="B45" s="12">
        <v>39845</v>
      </c>
      <c r="C45" s="69">
        <f t="shared" si="0"/>
        <v>0</v>
      </c>
      <c r="D45" s="73">
        <v>0</v>
      </c>
      <c r="E45" s="73"/>
      <c r="F45" s="20"/>
      <c r="H45" s="20"/>
      <c r="I45" s="22"/>
    </row>
    <row r="46" spans="2:9" x14ac:dyDescent="0.2">
      <c r="B46" s="12">
        <v>39814</v>
      </c>
      <c r="C46" s="69">
        <f t="shared" si="0"/>
        <v>0</v>
      </c>
      <c r="D46" s="73">
        <v>0</v>
      </c>
      <c r="E46" s="73"/>
      <c r="F46" s="20"/>
      <c r="H46" s="20"/>
      <c r="I46" s="22"/>
    </row>
    <row r="47" spans="2:9" x14ac:dyDescent="0.2">
      <c r="B47" s="12">
        <v>39783</v>
      </c>
      <c r="C47" s="69">
        <f t="shared" si="0"/>
        <v>0</v>
      </c>
      <c r="D47" s="73">
        <v>0</v>
      </c>
      <c r="E47" s="73"/>
      <c r="F47" s="20"/>
      <c r="H47" s="20"/>
      <c r="I47" s="22"/>
    </row>
    <row r="48" spans="2:9" x14ac:dyDescent="0.2">
      <c r="B48" s="12">
        <v>39753</v>
      </c>
      <c r="C48" s="69">
        <f t="shared" si="0"/>
        <v>0</v>
      </c>
      <c r="D48" s="73">
        <v>0</v>
      </c>
      <c r="E48" s="73"/>
      <c r="F48" s="20"/>
      <c r="H48" s="20"/>
      <c r="I48" s="22"/>
    </row>
    <row r="49" spans="2:9" x14ac:dyDescent="0.2">
      <c r="B49" s="12">
        <v>39722</v>
      </c>
      <c r="C49" s="69">
        <f t="shared" si="0"/>
        <v>0</v>
      </c>
      <c r="D49" s="73">
        <v>0</v>
      </c>
      <c r="E49" s="73"/>
      <c r="F49" s="20"/>
      <c r="H49" s="20"/>
      <c r="I49" s="22"/>
    </row>
    <row r="50" spans="2:9" x14ac:dyDescent="0.2">
      <c r="B50" s="12">
        <v>39692</v>
      </c>
      <c r="C50" s="69">
        <f t="shared" si="0"/>
        <v>0</v>
      </c>
      <c r="D50" s="73">
        <v>0</v>
      </c>
      <c r="E50" s="73"/>
      <c r="F50" s="20"/>
      <c r="H50" s="20"/>
      <c r="I50" s="22"/>
    </row>
    <row r="51" spans="2:9" x14ac:dyDescent="0.2">
      <c r="B51" s="12">
        <v>39661</v>
      </c>
      <c r="C51" s="69">
        <f t="shared" si="0"/>
        <v>2.4990041493775932</v>
      </c>
      <c r="D51" s="73">
        <v>120.5</v>
      </c>
      <c r="E51" s="73">
        <v>301.13</v>
      </c>
      <c r="F51" s="20"/>
      <c r="H51" s="20"/>
      <c r="I51" s="22"/>
    </row>
    <row r="52" spans="2:9" x14ac:dyDescent="0.2">
      <c r="B52" s="12">
        <v>39630</v>
      </c>
      <c r="C52" s="69">
        <f t="shared" si="0"/>
        <v>2.498977505112475</v>
      </c>
      <c r="D52" s="73">
        <v>146.69999999999999</v>
      </c>
      <c r="E52" s="73">
        <v>366.6</v>
      </c>
      <c r="F52" s="20"/>
      <c r="H52" s="20"/>
      <c r="I52" s="22"/>
    </row>
    <row r="53" spans="2:9" x14ac:dyDescent="0.2">
      <c r="B53" s="12">
        <v>39600</v>
      </c>
      <c r="C53" s="69">
        <f t="shared" si="0"/>
        <v>0</v>
      </c>
      <c r="D53" s="73">
        <v>0</v>
      </c>
      <c r="E53" s="73"/>
      <c r="F53" s="20"/>
      <c r="H53" s="20"/>
      <c r="I53" s="22"/>
    </row>
    <row r="54" spans="2:9" x14ac:dyDescent="0.2">
      <c r="B54" s="12">
        <v>39569</v>
      </c>
      <c r="C54" s="69">
        <f t="shared" si="0"/>
        <v>0</v>
      </c>
      <c r="D54" s="73">
        <v>0</v>
      </c>
      <c r="E54" s="73"/>
      <c r="F54" s="20"/>
      <c r="H54" s="20"/>
      <c r="I54" s="22"/>
    </row>
    <row r="55" spans="2:9" x14ac:dyDescent="0.2">
      <c r="B55" s="12">
        <v>39539</v>
      </c>
      <c r="C55" s="69">
        <f t="shared" si="0"/>
        <v>0</v>
      </c>
      <c r="D55" s="73">
        <v>0</v>
      </c>
      <c r="E55" s="73"/>
      <c r="F55" s="20"/>
      <c r="H55" s="20"/>
      <c r="I55" s="22"/>
    </row>
    <row r="56" spans="2:9" x14ac:dyDescent="0.2">
      <c r="B56" s="12">
        <v>39508</v>
      </c>
      <c r="C56" s="69">
        <f t="shared" si="0"/>
        <v>0</v>
      </c>
      <c r="D56" s="73">
        <v>0</v>
      </c>
      <c r="E56" s="73"/>
      <c r="F56" s="20"/>
      <c r="H56" s="20"/>
      <c r="I56" s="22"/>
    </row>
    <row r="57" spans="2:9" x14ac:dyDescent="0.2">
      <c r="B57" s="12">
        <v>39479</v>
      </c>
      <c r="C57" s="69">
        <f t="shared" si="0"/>
        <v>0</v>
      </c>
      <c r="D57" s="73">
        <v>0</v>
      </c>
      <c r="E57" s="73"/>
      <c r="F57" s="20"/>
      <c r="H57" s="20"/>
      <c r="I57" s="22"/>
    </row>
    <row r="58" spans="2:9" x14ac:dyDescent="0.2">
      <c r="B58" s="12">
        <v>39448</v>
      </c>
      <c r="C58" s="69">
        <f t="shared" si="0"/>
        <v>0</v>
      </c>
      <c r="D58" s="73">
        <v>0</v>
      </c>
      <c r="E58" s="73"/>
      <c r="F58" s="20"/>
      <c r="H58" s="20"/>
      <c r="I58" s="22"/>
    </row>
    <row r="59" spans="2:9" x14ac:dyDescent="0.2">
      <c r="B59" s="12">
        <v>39417</v>
      </c>
      <c r="C59" s="69">
        <f t="shared" si="0"/>
        <v>0</v>
      </c>
      <c r="D59" s="73">
        <v>0</v>
      </c>
      <c r="E59" s="73"/>
      <c r="F59" s="20"/>
      <c r="H59" s="20"/>
      <c r="I59" s="22"/>
    </row>
    <row r="60" spans="2:9" x14ac:dyDescent="0.2">
      <c r="B60" s="12">
        <v>39387</v>
      </c>
      <c r="C60" s="69">
        <f t="shared" si="0"/>
        <v>0</v>
      </c>
      <c r="D60" s="73">
        <v>0</v>
      </c>
      <c r="E60" s="73"/>
      <c r="F60" s="20"/>
      <c r="H60" s="20"/>
      <c r="I60" s="22"/>
    </row>
    <row r="61" spans="2:9" x14ac:dyDescent="0.2">
      <c r="B61" s="12">
        <v>39356</v>
      </c>
      <c r="C61" s="69">
        <f t="shared" si="0"/>
        <v>0</v>
      </c>
      <c r="D61" s="73">
        <v>0</v>
      </c>
      <c r="E61" s="73"/>
      <c r="F61" s="20"/>
      <c r="H61" s="20"/>
      <c r="I61" s="22"/>
    </row>
    <row r="62" spans="2:9" x14ac:dyDescent="0.2">
      <c r="B62" s="12">
        <v>39326</v>
      </c>
      <c r="C62" s="69">
        <f t="shared" si="0"/>
        <v>0</v>
      </c>
      <c r="D62" s="73">
        <v>0</v>
      </c>
      <c r="E62" s="73"/>
      <c r="F62" s="20"/>
      <c r="H62" s="20"/>
      <c r="I62" s="22"/>
    </row>
    <row r="63" spans="2:9" x14ac:dyDescent="0.2">
      <c r="B63" s="12">
        <v>39295</v>
      </c>
      <c r="C63" s="69">
        <f t="shared" si="0"/>
        <v>1.7489999999999999</v>
      </c>
      <c r="D63" s="73">
        <v>180</v>
      </c>
      <c r="E63" s="73">
        <v>314.82</v>
      </c>
      <c r="F63" s="20"/>
      <c r="H63" s="20"/>
      <c r="I63" s="22"/>
    </row>
    <row r="64" spans="2:9" x14ac:dyDescent="0.2">
      <c r="B64" s="12">
        <v>39264</v>
      </c>
      <c r="C64" s="69">
        <f t="shared" si="0"/>
        <v>0</v>
      </c>
      <c r="D64" s="73">
        <v>0</v>
      </c>
      <c r="E64" s="73"/>
      <c r="F64" s="20"/>
      <c r="H64" s="20"/>
      <c r="I64" s="22"/>
    </row>
    <row r="65" spans="2:9" x14ac:dyDescent="0.2">
      <c r="B65" s="12">
        <v>39234</v>
      </c>
      <c r="C65" s="69">
        <f t="shared" si="0"/>
        <v>0</v>
      </c>
      <c r="D65" s="73">
        <v>0</v>
      </c>
      <c r="E65" s="73"/>
      <c r="F65" s="20"/>
      <c r="H65" s="20"/>
      <c r="I65" s="22"/>
    </row>
    <row r="66" spans="2:9" x14ac:dyDescent="0.2">
      <c r="B66" s="12">
        <v>39203</v>
      </c>
      <c r="C66" s="69">
        <f t="shared" si="0"/>
        <v>0</v>
      </c>
      <c r="D66" s="73">
        <v>0</v>
      </c>
      <c r="E66" s="73"/>
      <c r="F66" s="20"/>
      <c r="H66" s="20"/>
      <c r="I66" s="22"/>
    </row>
    <row r="67" spans="2:9" x14ac:dyDescent="0.2">
      <c r="B67" s="12">
        <v>39173</v>
      </c>
      <c r="C67" s="69">
        <f t="shared" si="0"/>
        <v>0</v>
      </c>
      <c r="D67" s="73">
        <v>0</v>
      </c>
      <c r="E67" s="73"/>
      <c r="F67" s="20"/>
      <c r="H67" s="20"/>
      <c r="I67" s="22"/>
    </row>
    <row r="68" spans="2:9" x14ac:dyDescent="0.2">
      <c r="B68" s="12">
        <v>39142</v>
      </c>
      <c r="C68" s="69">
        <f t="shared" si="0"/>
        <v>0</v>
      </c>
      <c r="D68" s="73">
        <v>0</v>
      </c>
      <c r="E68" s="73"/>
      <c r="F68" s="20"/>
      <c r="H68" s="20"/>
      <c r="I68" s="22"/>
    </row>
    <row r="69" spans="2:9" x14ac:dyDescent="0.2">
      <c r="B69" s="12">
        <v>39114</v>
      </c>
      <c r="C69" s="69">
        <f t="shared" ref="C69:C70" si="1">IF(E69&gt;0,E69/D69,0)</f>
        <v>0</v>
      </c>
      <c r="D69" s="73">
        <v>0</v>
      </c>
      <c r="E69" s="73"/>
      <c r="F69" s="20"/>
      <c r="H69" s="20"/>
      <c r="I69" s="22"/>
    </row>
    <row r="70" spans="2:9" x14ac:dyDescent="0.2">
      <c r="B70" s="12">
        <v>39083</v>
      </c>
      <c r="C70" s="69">
        <f t="shared" si="1"/>
        <v>0</v>
      </c>
      <c r="D70" s="73">
        <v>0</v>
      </c>
      <c r="E70" s="73"/>
      <c r="F70" s="20"/>
      <c r="H70" s="20"/>
      <c r="I70" s="22"/>
    </row>
    <row r="71" spans="2:9" x14ac:dyDescent="0.2">
      <c r="F71" s="20"/>
      <c r="H71" s="20"/>
      <c r="I71" s="22"/>
    </row>
    <row r="72" spans="2:9" ht="15" x14ac:dyDescent="0.25">
      <c r="B72" s="10" t="s">
        <v>6</v>
      </c>
      <c r="C72"/>
      <c r="D72" s="28">
        <f>SUM(D4:D70)</f>
        <v>1155.8</v>
      </c>
      <c r="E72" s="3">
        <f>SUM(E4:E70)</f>
        <v>2380.4499999999998</v>
      </c>
      <c r="F72" s="20"/>
      <c r="H72" s="20"/>
      <c r="I72" s="22"/>
    </row>
    <row r="73" spans="2:9" x14ac:dyDescent="0.2">
      <c r="F73" s="20"/>
      <c r="H73" s="20"/>
      <c r="I73" s="22"/>
    </row>
    <row r="74" spans="2:9" x14ac:dyDescent="0.2">
      <c r="F74" s="20"/>
      <c r="H74" s="20"/>
      <c r="I74" s="22"/>
    </row>
    <row r="75" spans="2:9" x14ac:dyDescent="0.2">
      <c r="F75" s="20"/>
      <c r="H75" s="20"/>
      <c r="I75" s="22"/>
    </row>
    <row r="76" spans="2:9" x14ac:dyDescent="0.2">
      <c r="F76" s="20"/>
      <c r="H76" s="20"/>
      <c r="I76" s="22"/>
    </row>
    <row r="77" spans="2:9" x14ac:dyDescent="0.2">
      <c r="F77" s="20"/>
      <c r="H77" s="20"/>
      <c r="I77" s="22"/>
    </row>
    <row r="78" spans="2:9" x14ac:dyDescent="0.2">
      <c r="F78" s="20"/>
      <c r="H78" s="20"/>
      <c r="I78" s="22"/>
    </row>
  </sheetData>
  <hyperlinks>
    <hyperlink ref="A1" location="a34098367" display="a34098367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5" max="5" width="11.5703125" bestFit="1" customWidth="1"/>
    <col min="7" max="7" width="7.85546875" bestFit="1" customWidth="1"/>
    <col min="9" max="9" width="6" bestFit="1" customWidth="1"/>
    <col min="10" max="10" width="10.7109375" bestFit="1" customWidth="1"/>
    <col min="11" max="12" width="9.7109375" bestFit="1" customWidth="1"/>
  </cols>
  <sheetData>
    <row r="1" spans="1:8" x14ac:dyDescent="0.25">
      <c r="A1" s="5">
        <f>Summary!B11</f>
        <v>30496</v>
      </c>
      <c r="B1" s="2" t="str">
        <f>Summary!C11</f>
        <v>549892   17/V2</v>
      </c>
    </row>
    <row r="3" spans="1:8" ht="51" x14ac:dyDescent="0.25">
      <c r="B3" s="11" t="s">
        <v>4</v>
      </c>
      <c r="C3" s="59" t="s">
        <v>14</v>
      </c>
      <c r="D3" s="55" t="s">
        <v>15</v>
      </c>
      <c r="E3" s="59" t="s">
        <v>13</v>
      </c>
      <c r="H3" s="26"/>
    </row>
    <row r="4" spans="1:8" x14ac:dyDescent="0.25">
      <c r="B4" s="12">
        <v>41091</v>
      </c>
      <c r="C4" s="69">
        <f>IF(E4&gt;0,E4/D4,0)</f>
        <v>2.2990222222222223</v>
      </c>
      <c r="D4" s="57">
        <v>112.5</v>
      </c>
      <c r="E4" s="74">
        <v>258.64</v>
      </c>
    </row>
    <row r="5" spans="1:8" x14ac:dyDescent="0.25">
      <c r="B5" s="12">
        <v>41061</v>
      </c>
      <c r="C5" s="69">
        <f t="shared" ref="C5:C68" si="0">IF(E5&gt;0,E5/D5,0)</f>
        <v>2.2989825581395347</v>
      </c>
      <c r="D5" s="57">
        <v>137.6</v>
      </c>
      <c r="E5" s="74">
        <v>316.33999999999997</v>
      </c>
    </row>
    <row r="6" spans="1:8" x14ac:dyDescent="0.25">
      <c r="B6" s="12">
        <v>41030</v>
      </c>
      <c r="C6" s="69">
        <f t="shared" si="0"/>
        <v>2.2990033222591362</v>
      </c>
      <c r="D6" s="57">
        <v>30.1</v>
      </c>
      <c r="E6" s="74">
        <v>69.2</v>
      </c>
    </row>
    <row r="7" spans="1:8" x14ac:dyDescent="0.25">
      <c r="B7" s="12">
        <v>41000</v>
      </c>
      <c r="C7" s="69">
        <f t="shared" si="0"/>
        <v>0</v>
      </c>
      <c r="D7" s="57">
        <v>0</v>
      </c>
      <c r="E7" s="74"/>
    </row>
    <row r="8" spans="1:8" x14ac:dyDescent="0.25">
      <c r="B8" s="12">
        <v>40969</v>
      </c>
      <c r="C8" s="69">
        <f t="shared" si="0"/>
        <v>0</v>
      </c>
      <c r="D8" s="57">
        <v>0</v>
      </c>
      <c r="E8" s="74"/>
    </row>
    <row r="9" spans="1:8" x14ac:dyDescent="0.25">
      <c r="B9" s="12">
        <v>40940</v>
      </c>
      <c r="C9" s="69">
        <f t="shared" si="0"/>
        <v>0</v>
      </c>
      <c r="D9" s="74">
        <v>0</v>
      </c>
      <c r="E9" s="74"/>
    </row>
    <row r="10" spans="1:8" x14ac:dyDescent="0.25">
      <c r="B10" s="12">
        <v>40909</v>
      </c>
      <c r="C10" s="69">
        <f t="shared" si="0"/>
        <v>0</v>
      </c>
      <c r="D10" s="74">
        <v>0</v>
      </c>
      <c r="E10" s="74"/>
    </row>
    <row r="11" spans="1:8" x14ac:dyDescent="0.25">
      <c r="B11" s="12">
        <v>40878</v>
      </c>
      <c r="C11" s="69">
        <f t="shared" si="0"/>
        <v>0</v>
      </c>
      <c r="D11" s="74">
        <v>0</v>
      </c>
      <c r="E11" s="74"/>
    </row>
    <row r="12" spans="1:8" x14ac:dyDescent="0.25">
      <c r="B12" s="12">
        <v>40848</v>
      </c>
      <c r="C12" s="69">
        <f t="shared" si="0"/>
        <v>0</v>
      </c>
      <c r="D12" s="74">
        <v>0</v>
      </c>
      <c r="E12" s="74"/>
    </row>
    <row r="13" spans="1:8" x14ac:dyDescent="0.25">
      <c r="B13" s="12">
        <v>40817</v>
      </c>
      <c r="C13" s="69">
        <f t="shared" si="0"/>
        <v>2.2990532544378701</v>
      </c>
      <c r="D13" s="74">
        <v>84.5</v>
      </c>
      <c r="E13" s="74">
        <v>194.27</v>
      </c>
    </row>
    <row r="14" spans="1:8" x14ac:dyDescent="0.25">
      <c r="B14" s="12">
        <v>40787</v>
      </c>
      <c r="C14" s="69">
        <f t="shared" si="0"/>
        <v>2.2990074441687343</v>
      </c>
      <c r="D14" s="74">
        <v>120.9</v>
      </c>
      <c r="E14" s="74">
        <v>277.95</v>
      </c>
    </row>
    <row r="15" spans="1:8" x14ac:dyDescent="0.25">
      <c r="B15" s="12">
        <v>40756</v>
      </c>
      <c r="C15" s="69">
        <f t="shared" si="0"/>
        <v>1.9989907727797001</v>
      </c>
      <c r="D15" s="74">
        <v>346.8</v>
      </c>
      <c r="E15" s="74">
        <v>693.25</v>
      </c>
    </row>
    <row r="16" spans="1:8" x14ac:dyDescent="0.25">
      <c r="B16" s="12">
        <v>40725</v>
      </c>
      <c r="C16" s="69">
        <f t="shared" si="0"/>
        <v>0</v>
      </c>
      <c r="D16" s="74">
        <v>0</v>
      </c>
      <c r="E16" s="74"/>
    </row>
    <row r="17" spans="2:10" x14ac:dyDescent="0.25">
      <c r="B17" s="12">
        <v>40695</v>
      </c>
      <c r="C17" s="69">
        <f t="shared" si="0"/>
        <v>0</v>
      </c>
      <c r="D17" s="74">
        <v>0</v>
      </c>
      <c r="E17" s="74"/>
    </row>
    <row r="18" spans="2:10" x14ac:dyDescent="0.25">
      <c r="B18" s="12">
        <v>40664</v>
      </c>
      <c r="C18" s="69">
        <f t="shared" si="0"/>
        <v>0</v>
      </c>
      <c r="D18" s="74">
        <v>0</v>
      </c>
      <c r="E18" s="74"/>
    </row>
    <row r="19" spans="2:10" x14ac:dyDescent="0.25">
      <c r="B19" s="12">
        <v>40634</v>
      </c>
      <c r="C19" s="69">
        <f t="shared" si="0"/>
        <v>0</v>
      </c>
      <c r="D19" s="74">
        <v>0</v>
      </c>
      <c r="E19" s="74"/>
    </row>
    <row r="20" spans="2:10" x14ac:dyDescent="0.25">
      <c r="B20" s="12">
        <v>40603</v>
      </c>
      <c r="C20" s="69">
        <f t="shared" si="0"/>
        <v>0</v>
      </c>
      <c r="D20" s="74">
        <v>0</v>
      </c>
      <c r="E20" s="74"/>
      <c r="G20" s="6"/>
      <c r="I20" s="6"/>
      <c r="J20" s="10"/>
    </row>
    <row r="21" spans="2:10" x14ac:dyDescent="0.25">
      <c r="B21" s="12">
        <v>40575</v>
      </c>
      <c r="C21" s="69">
        <f t="shared" si="0"/>
        <v>0</v>
      </c>
      <c r="D21" s="75">
        <v>0</v>
      </c>
      <c r="E21" s="75"/>
      <c r="G21" s="6"/>
      <c r="I21" s="6"/>
      <c r="J21" s="7"/>
    </row>
    <row r="22" spans="2:10" x14ac:dyDescent="0.25">
      <c r="B22" s="12">
        <v>40544</v>
      </c>
      <c r="C22" s="69">
        <f t="shared" si="0"/>
        <v>0</v>
      </c>
      <c r="D22" s="75">
        <v>0</v>
      </c>
      <c r="E22" s="75"/>
      <c r="G22" s="6"/>
      <c r="I22" s="6"/>
      <c r="J22" s="7"/>
    </row>
    <row r="23" spans="2:10" x14ac:dyDescent="0.25">
      <c r="B23" s="12">
        <v>40513</v>
      </c>
      <c r="C23" s="69">
        <f t="shared" si="0"/>
        <v>0</v>
      </c>
      <c r="D23" s="75">
        <v>0</v>
      </c>
      <c r="E23" s="75"/>
      <c r="G23" s="6"/>
      <c r="I23" s="6"/>
      <c r="J23" s="10"/>
    </row>
    <row r="24" spans="2:10" x14ac:dyDescent="0.25">
      <c r="B24" s="12">
        <v>40483</v>
      </c>
      <c r="C24" s="69">
        <f t="shared" si="0"/>
        <v>0</v>
      </c>
      <c r="D24" s="75">
        <v>0</v>
      </c>
      <c r="E24" s="75"/>
      <c r="G24" s="6"/>
      <c r="I24" s="6"/>
      <c r="J24" s="7"/>
    </row>
    <row r="25" spans="2:10" x14ac:dyDescent="0.25">
      <c r="B25" s="12">
        <v>40452</v>
      </c>
      <c r="C25" s="69">
        <f t="shared" si="0"/>
        <v>1.9989614243323439</v>
      </c>
      <c r="D25" s="75">
        <v>67.400000000000006</v>
      </c>
      <c r="E25" s="75">
        <v>134.72999999999999</v>
      </c>
      <c r="G25" s="6"/>
      <c r="I25" s="6"/>
      <c r="J25" s="7"/>
    </row>
    <row r="26" spans="2:10" x14ac:dyDescent="0.25">
      <c r="B26" s="12">
        <v>40422</v>
      </c>
      <c r="C26" s="69">
        <f t="shared" si="0"/>
        <v>1.9990161630358394</v>
      </c>
      <c r="D26" s="75">
        <v>142.30000000000001</v>
      </c>
      <c r="E26" s="75">
        <v>284.45999999999998</v>
      </c>
      <c r="G26" s="6"/>
      <c r="I26" s="6"/>
      <c r="J26" s="7"/>
    </row>
    <row r="27" spans="2:10" x14ac:dyDescent="0.25">
      <c r="B27" s="12">
        <v>40391</v>
      </c>
      <c r="C27" s="69">
        <f t="shared" si="0"/>
        <v>1.9990189208128943</v>
      </c>
      <c r="D27" s="75">
        <v>142.69999999999999</v>
      </c>
      <c r="E27" s="75">
        <v>285.26</v>
      </c>
      <c r="G27" s="6"/>
      <c r="I27" s="6"/>
      <c r="J27" s="7"/>
    </row>
    <row r="28" spans="2:10" x14ac:dyDescent="0.25">
      <c r="B28" s="12">
        <v>40360</v>
      </c>
      <c r="C28" s="69">
        <f t="shared" si="0"/>
        <v>1.9989699570815451</v>
      </c>
      <c r="D28" s="75">
        <v>116.5</v>
      </c>
      <c r="E28" s="75">
        <v>232.88</v>
      </c>
      <c r="G28" s="6"/>
      <c r="I28" s="6"/>
      <c r="J28" s="7"/>
    </row>
    <row r="29" spans="2:10" x14ac:dyDescent="0.25">
      <c r="B29" s="12">
        <v>40330</v>
      </c>
      <c r="C29" s="69">
        <f t="shared" si="0"/>
        <v>0</v>
      </c>
      <c r="D29" s="75">
        <v>0</v>
      </c>
      <c r="E29" s="75"/>
      <c r="G29" s="6"/>
      <c r="I29" s="6"/>
      <c r="J29" s="10"/>
    </row>
    <row r="30" spans="2:10" x14ac:dyDescent="0.25">
      <c r="B30" s="12">
        <v>40299</v>
      </c>
      <c r="C30" s="69">
        <f t="shared" si="0"/>
        <v>0</v>
      </c>
      <c r="D30" s="75">
        <v>0</v>
      </c>
      <c r="E30" s="75"/>
      <c r="G30" s="6"/>
      <c r="I30" s="6"/>
      <c r="J30" s="10"/>
    </row>
    <row r="31" spans="2:10" x14ac:dyDescent="0.25">
      <c r="B31" s="12">
        <v>40269</v>
      </c>
      <c r="C31" s="69">
        <f t="shared" si="0"/>
        <v>0</v>
      </c>
      <c r="D31" s="75">
        <v>0</v>
      </c>
      <c r="E31" s="75"/>
      <c r="G31" s="6"/>
      <c r="I31" s="6"/>
      <c r="J31" s="7"/>
    </row>
    <row r="32" spans="2:10" x14ac:dyDescent="0.25">
      <c r="B32" s="12">
        <v>40238</v>
      </c>
      <c r="C32" s="69">
        <f t="shared" si="0"/>
        <v>0</v>
      </c>
      <c r="D32" s="75">
        <v>0</v>
      </c>
      <c r="E32" s="75"/>
      <c r="G32" s="6"/>
      <c r="I32" s="6"/>
      <c r="J32" s="10"/>
    </row>
    <row r="33" spans="2:10" x14ac:dyDescent="0.25">
      <c r="B33" s="12">
        <v>40210</v>
      </c>
      <c r="C33" s="69">
        <f t="shared" si="0"/>
        <v>0</v>
      </c>
      <c r="D33" s="75">
        <v>0</v>
      </c>
      <c r="E33" s="75"/>
      <c r="G33" s="6"/>
      <c r="H33" s="6"/>
      <c r="I33" s="6"/>
      <c r="J33" s="7"/>
    </row>
    <row r="34" spans="2:10" x14ac:dyDescent="0.25">
      <c r="B34" s="24">
        <v>40179</v>
      </c>
      <c r="C34" s="69">
        <f t="shared" si="0"/>
        <v>0</v>
      </c>
      <c r="D34" s="76">
        <v>0</v>
      </c>
      <c r="E34" s="76"/>
      <c r="G34" s="6"/>
      <c r="I34" s="6"/>
      <c r="J34" s="10"/>
    </row>
    <row r="35" spans="2:10" x14ac:dyDescent="0.25">
      <c r="B35" s="24">
        <v>40148</v>
      </c>
      <c r="C35" s="69">
        <f t="shared" si="0"/>
        <v>0</v>
      </c>
      <c r="D35" s="76">
        <v>0</v>
      </c>
      <c r="E35" s="76"/>
      <c r="G35" s="6"/>
      <c r="I35" s="6"/>
      <c r="J35" s="7"/>
    </row>
    <row r="36" spans="2:10" x14ac:dyDescent="0.25">
      <c r="B36" s="24">
        <v>40118</v>
      </c>
      <c r="C36" s="69">
        <f t="shared" si="0"/>
        <v>0</v>
      </c>
      <c r="D36" s="76">
        <v>0</v>
      </c>
      <c r="E36" s="76"/>
      <c r="G36" s="6"/>
      <c r="I36" s="6"/>
      <c r="J36" s="10"/>
    </row>
    <row r="37" spans="2:10" x14ac:dyDescent="0.25">
      <c r="B37" s="24">
        <v>40087</v>
      </c>
      <c r="C37" s="69">
        <f t="shared" si="0"/>
        <v>0</v>
      </c>
      <c r="D37" s="76">
        <v>0</v>
      </c>
      <c r="E37" s="76"/>
      <c r="G37" s="6"/>
      <c r="I37" s="6"/>
      <c r="J37" s="10"/>
    </row>
    <row r="38" spans="2:10" x14ac:dyDescent="0.25">
      <c r="B38" s="24">
        <v>40057</v>
      </c>
      <c r="C38" s="69">
        <f t="shared" si="0"/>
        <v>1.7990185387131952</v>
      </c>
      <c r="D38" s="76">
        <v>183.4</v>
      </c>
      <c r="E38" s="76">
        <v>329.94</v>
      </c>
      <c r="G38" s="6"/>
      <c r="I38" s="6"/>
      <c r="J38" s="10"/>
    </row>
    <row r="39" spans="2:10" x14ac:dyDescent="0.25">
      <c r="B39" s="24">
        <v>40026</v>
      </c>
      <c r="C39" s="69">
        <f t="shared" si="0"/>
        <v>1.6989747095010252</v>
      </c>
      <c r="D39" s="76">
        <v>146.30000000000001</v>
      </c>
      <c r="E39" s="76">
        <v>248.56</v>
      </c>
      <c r="G39" s="6"/>
      <c r="I39" s="6"/>
      <c r="J39" s="10"/>
    </row>
    <row r="40" spans="2:10" x14ac:dyDescent="0.25">
      <c r="B40" s="24">
        <v>39995</v>
      </c>
      <c r="C40" s="69">
        <f t="shared" si="0"/>
        <v>1.6989858012170387</v>
      </c>
      <c r="D40" s="76">
        <v>197.2</v>
      </c>
      <c r="E40" s="76">
        <v>335.04</v>
      </c>
      <c r="G40" s="6"/>
      <c r="I40" s="6"/>
      <c r="J40" s="7"/>
    </row>
    <row r="41" spans="2:10" x14ac:dyDescent="0.25">
      <c r="B41" s="24">
        <v>39965</v>
      </c>
      <c r="C41" s="69">
        <f t="shared" si="0"/>
        <v>1.698992612491605</v>
      </c>
      <c r="D41" s="76">
        <v>148.9</v>
      </c>
      <c r="E41" s="76">
        <v>252.98</v>
      </c>
      <c r="G41" s="6"/>
      <c r="I41" s="6"/>
      <c r="J41" s="10"/>
    </row>
    <row r="42" spans="2:10" x14ac:dyDescent="0.25">
      <c r="B42" s="24">
        <v>39934</v>
      </c>
      <c r="C42" s="69">
        <f t="shared" si="0"/>
        <v>0</v>
      </c>
      <c r="D42" s="76">
        <v>0</v>
      </c>
      <c r="E42" s="76"/>
      <c r="G42" s="6"/>
      <c r="I42" s="6"/>
      <c r="J42" s="10"/>
    </row>
    <row r="43" spans="2:10" x14ac:dyDescent="0.25">
      <c r="B43" s="12">
        <v>39904</v>
      </c>
      <c r="C43" s="69">
        <f t="shared" si="0"/>
        <v>0</v>
      </c>
      <c r="D43" s="75">
        <v>0</v>
      </c>
      <c r="E43" s="75"/>
      <c r="G43" s="6"/>
      <c r="I43" s="6"/>
      <c r="J43" s="10"/>
    </row>
    <row r="44" spans="2:10" x14ac:dyDescent="0.25">
      <c r="B44" s="12">
        <v>39873</v>
      </c>
      <c r="C44" s="69">
        <f t="shared" si="0"/>
        <v>0</v>
      </c>
      <c r="D44" s="75">
        <v>0</v>
      </c>
      <c r="E44" s="75"/>
      <c r="G44" s="6"/>
      <c r="I44" s="6"/>
      <c r="J44" s="10"/>
    </row>
    <row r="45" spans="2:10" x14ac:dyDescent="0.25">
      <c r="B45" s="12">
        <v>39845</v>
      </c>
      <c r="C45" s="69">
        <f t="shared" si="0"/>
        <v>0</v>
      </c>
      <c r="D45" s="75">
        <v>0</v>
      </c>
      <c r="E45" s="75"/>
      <c r="G45" s="6"/>
      <c r="I45" s="6"/>
      <c r="J45" s="10"/>
    </row>
    <row r="46" spans="2:10" x14ac:dyDescent="0.25">
      <c r="B46" s="12">
        <v>39814</v>
      </c>
      <c r="C46" s="69">
        <f t="shared" si="0"/>
        <v>0</v>
      </c>
      <c r="D46" s="75">
        <v>0</v>
      </c>
      <c r="E46" s="75"/>
      <c r="G46" s="6"/>
      <c r="I46" s="6"/>
      <c r="J46" s="7"/>
    </row>
    <row r="47" spans="2:10" x14ac:dyDescent="0.25">
      <c r="B47" s="12">
        <v>39783</v>
      </c>
      <c r="C47" s="69">
        <f t="shared" si="0"/>
        <v>0</v>
      </c>
      <c r="D47" s="75">
        <v>0</v>
      </c>
      <c r="E47" s="75"/>
      <c r="G47" s="6"/>
      <c r="I47" s="6"/>
      <c r="J47" s="10"/>
    </row>
    <row r="48" spans="2:10" x14ac:dyDescent="0.25">
      <c r="B48" s="12">
        <v>39753</v>
      </c>
      <c r="C48" s="69">
        <f t="shared" si="0"/>
        <v>0</v>
      </c>
      <c r="D48" s="75">
        <v>0</v>
      </c>
      <c r="E48" s="75"/>
      <c r="G48" s="6"/>
      <c r="I48" s="6"/>
      <c r="J48" s="10"/>
    </row>
    <row r="49" spans="2:11" x14ac:dyDescent="0.25">
      <c r="B49" s="12">
        <v>39722</v>
      </c>
      <c r="C49" s="69">
        <f t="shared" si="0"/>
        <v>0</v>
      </c>
      <c r="D49" s="75">
        <v>0</v>
      </c>
      <c r="E49" s="75"/>
      <c r="G49" s="6"/>
      <c r="I49" s="6"/>
      <c r="J49" s="10"/>
    </row>
    <row r="50" spans="2:11" x14ac:dyDescent="0.25">
      <c r="B50" s="12">
        <v>39692</v>
      </c>
      <c r="C50" s="69">
        <f t="shared" si="0"/>
        <v>2.4989619377162628</v>
      </c>
      <c r="D50" s="75">
        <v>86.7</v>
      </c>
      <c r="E50" s="75">
        <v>216.66</v>
      </c>
      <c r="G50" s="6"/>
      <c r="I50" s="6"/>
      <c r="J50" s="7"/>
    </row>
    <row r="51" spans="2:11" x14ac:dyDescent="0.25">
      <c r="B51" s="12">
        <v>39661</v>
      </c>
      <c r="C51" s="69">
        <f t="shared" si="0"/>
        <v>2.4989730423620022</v>
      </c>
      <c r="D51" s="75">
        <v>155.80000000000001</v>
      </c>
      <c r="E51" s="75">
        <v>389.34</v>
      </c>
      <c r="G51" s="6"/>
      <c r="I51" s="6"/>
      <c r="J51" s="7"/>
    </row>
    <row r="52" spans="2:11" x14ac:dyDescent="0.25">
      <c r="B52" s="12">
        <v>39630</v>
      </c>
      <c r="C52" s="69">
        <f t="shared" si="0"/>
        <v>2.4990123456790121</v>
      </c>
      <c r="D52" s="75">
        <v>121.5</v>
      </c>
      <c r="E52" s="75">
        <v>303.63</v>
      </c>
      <c r="G52" s="6"/>
      <c r="J52" s="10"/>
    </row>
    <row r="53" spans="2:11" x14ac:dyDescent="0.25">
      <c r="B53" s="12">
        <v>39600</v>
      </c>
      <c r="C53" s="69">
        <f t="shared" si="0"/>
        <v>2.4990170380078638</v>
      </c>
      <c r="D53" s="75">
        <v>152.6</v>
      </c>
      <c r="E53" s="75">
        <v>381.35</v>
      </c>
      <c r="G53" s="6"/>
      <c r="J53" s="10"/>
    </row>
    <row r="54" spans="2:11" x14ac:dyDescent="0.25">
      <c r="B54" s="12">
        <v>39569</v>
      </c>
      <c r="C54" s="69">
        <f t="shared" si="0"/>
        <v>0</v>
      </c>
      <c r="D54" s="75">
        <v>0</v>
      </c>
      <c r="E54" s="75"/>
      <c r="G54" s="6"/>
      <c r="J54" s="10"/>
    </row>
    <row r="55" spans="2:11" x14ac:dyDescent="0.25">
      <c r="B55" s="12">
        <v>39539</v>
      </c>
      <c r="C55" s="69">
        <f t="shared" si="0"/>
        <v>0</v>
      </c>
      <c r="D55" s="75">
        <v>0</v>
      </c>
      <c r="E55" s="75"/>
      <c r="G55" s="6"/>
      <c r="J55" s="10"/>
    </row>
    <row r="56" spans="2:11" x14ac:dyDescent="0.25">
      <c r="B56" s="12">
        <v>39508</v>
      </c>
      <c r="C56" s="69">
        <f t="shared" si="0"/>
        <v>0</v>
      </c>
      <c r="D56" s="75">
        <v>0</v>
      </c>
      <c r="E56" s="75"/>
      <c r="G56" s="6"/>
      <c r="I56" s="6"/>
      <c r="J56" s="10"/>
    </row>
    <row r="57" spans="2:11" x14ac:dyDescent="0.25">
      <c r="B57" s="12">
        <v>39479</v>
      </c>
      <c r="C57" s="69">
        <f t="shared" si="0"/>
        <v>0</v>
      </c>
      <c r="D57" s="75">
        <v>0</v>
      </c>
      <c r="E57" s="75"/>
      <c r="G57" s="6"/>
      <c r="I57" s="6"/>
      <c r="J57" s="10"/>
    </row>
    <row r="58" spans="2:11" x14ac:dyDescent="0.25">
      <c r="B58" s="12">
        <v>39448</v>
      </c>
      <c r="C58" s="69">
        <f t="shared" si="0"/>
        <v>0</v>
      </c>
      <c r="D58" s="75">
        <v>0</v>
      </c>
      <c r="E58" s="75"/>
      <c r="G58" s="6"/>
      <c r="I58" s="6"/>
      <c r="J58" s="10"/>
    </row>
    <row r="59" spans="2:11" x14ac:dyDescent="0.25">
      <c r="B59" s="12">
        <v>39417</v>
      </c>
      <c r="C59" s="69">
        <f t="shared" si="0"/>
        <v>0</v>
      </c>
      <c r="D59" s="75">
        <v>0</v>
      </c>
      <c r="E59" s="75"/>
      <c r="G59" s="6"/>
      <c r="J59" s="10"/>
    </row>
    <row r="60" spans="2:11" x14ac:dyDescent="0.25">
      <c r="B60" s="12">
        <v>39387</v>
      </c>
      <c r="C60" s="69">
        <f t="shared" si="0"/>
        <v>0</v>
      </c>
      <c r="D60" s="75">
        <v>0</v>
      </c>
      <c r="E60" s="75"/>
      <c r="G60" s="6"/>
      <c r="I60" s="6"/>
      <c r="J60" s="7"/>
      <c r="K60" s="6"/>
    </row>
    <row r="61" spans="2:11" x14ac:dyDescent="0.25">
      <c r="B61" s="12">
        <v>39356</v>
      </c>
      <c r="C61" s="69">
        <f t="shared" si="0"/>
        <v>0</v>
      </c>
      <c r="D61" s="75">
        <v>0</v>
      </c>
      <c r="E61" s="75"/>
      <c r="G61" s="6"/>
      <c r="I61" s="6"/>
      <c r="J61" s="7"/>
      <c r="K61" s="6"/>
    </row>
    <row r="62" spans="2:11" x14ac:dyDescent="0.25">
      <c r="B62" s="12">
        <v>39326</v>
      </c>
      <c r="C62" s="69">
        <f t="shared" si="0"/>
        <v>1.7489814814814812</v>
      </c>
      <c r="D62" s="75">
        <v>108</v>
      </c>
      <c r="E62" s="75">
        <v>188.89</v>
      </c>
      <c r="G62" s="6"/>
      <c r="I62" s="6"/>
      <c r="J62" s="7"/>
      <c r="K62" s="6"/>
    </row>
    <row r="63" spans="2:11" x14ac:dyDescent="0.25">
      <c r="B63" s="12">
        <v>39295</v>
      </c>
      <c r="C63" s="69">
        <f t="shared" si="0"/>
        <v>1.7489795918367348</v>
      </c>
      <c r="D63" s="75">
        <v>196</v>
      </c>
      <c r="E63" s="75">
        <v>342.8</v>
      </c>
      <c r="G63" s="6"/>
      <c r="I63" s="6"/>
      <c r="J63" s="7"/>
      <c r="K63" s="6"/>
    </row>
    <row r="64" spans="2:11" x14ac:dyDescent="0.25">
      <c r="B64" s="12">
        <v>39264</v>
      </c>
      <c r="C64" s="69">
        <f t="shared" si="0"/>
        <v>1.6490344827586207</v>
      </c>
      <c r="D64" s="75">
        <v>145</v>
      </c>
      <c r="E64" s="75">
        <v>239.11</v>
      </c>
      <c r="G64" s="6"/>
      <c r="I64" s="6"/>
      <c r="J64" s="7"/>
      <c r="K64" s="6"/>
    </row>
    <row r="65" spans="2:11" x14ac:dyDescent="0.25">
      <c r="B65" s="12">
        <v>39234</v>
      </c>
      <c r="C65" s="69">
        <f t="shared" si="0"/>
        <v>1.6489552238805971</v>
      </c>
      <c r="D65" s="75">
        <v>134</v>
      </c>
      <c r="E65" s="75">
        <v>220.96</v>
      </c>
      <c r="G65" s="6"/>
      <c r="I65" s="6"/>
      <c r="J65" s="7"/>
      <c r="K65" s="6"/>
    </row>
    <row r="66" spans="2:11" x14ac:dyDescent="0.25">
      <c r="B66" s="12">
        <v>39203</v>
      </c>
      <c r="C66" s="69">
        <f t="shared" si="0"/>
        <v>0</v>
      </c>
      <c r="D66" s="75">
        <v>0</v>
      </c>
      <c r="E66" s="75"/>
      <c r="G66" s="6"/>
      <c r="I66" s="6"/>
      <c r="J66" s="7"/>
      <c r="K66" s="6"/>
    </row>
    <row r="67" spans="2:11" x14ac:dyDescent="0.25">
      <c r="B67" s="12">
        <v>39173</v>
      </c>
      <c r="C67" s="69">
        <f t="shared" si="0"/>
        <v>0</v>
      </c>
      <c r="D67" s="75">
        <v>0</v>
      </c>
      <c r="E67" s="75"/>
      <c r="G67" s="6"/>
      <c r="I67" s="6"/>
      <c r="J67" s="7"/>
      <c r="K67" s="6"/>
    </row>
    <row r="68" spans="2:11" x14ac:dyDescent="0.25">
      <c r="B68" s="12">
        <v>39142</v>
      </c>
      <c r="C68" s="69">
        <f t="shared" si="0"/>
        <v>0</v>
      </c>
      <c r="D68" s="75">
        <v>0</v>
      </c>
      <c r="E68" s="75"/>
      <c r="G68" s="6"/>
      <c r="I68" s="6"/>
      <c r="J68" s="7"/>
      <c r="K68" s="6"/>
    </row>
    <row r="69" spans="2:11" x14ac:dyDescent="0.25">
      <c r="B69" s="12">
        <v>39114</v>
      </c>
      <c r="C69" s="69">
        <f t="shared" ref="C69:C70" si="1">IF(E69&gt;0,E69/D69,0)</f>
        <v>0</v>
      </c>
      <c r="D69" s="75">
        <v>0</v>
      </c>
      <c r="E69" s="75"/>
      <c r="G69" s="6"/>
      <c r="I69" s="6"/>
      <c r="J69" s="7"/>
      <c r="K69" s="6"/>
    </row>
    <row r="70" spans="2:11" x14ac:dyDescent="0.25">
      <c r="B70" s="12">
        <v>39083</v>
      </c>
      <c r="C70" s="69">
        <f t="shared" si="1"/>
        <v>0</v>
      </c>
      <c r="D70" s="75">
        <v>0</v>
      </c>
      <c r="E70" s="75"/>
      <c r="G70" s="6"/>
      <c r="I70" s="6"/>
      <c r="J70" s="7"/>
      <c r="K70" s="6"/>
    </row>
    <row r="71" spans="2:11" x14ac:dyDescent="0.25">
      <c r="G71" s="6"/>
      <c r="I71" s="6"/>
      <c r="J71" s="7"/>
      <c r="K71" s="6"/>
    </row>
    <row r="72" spans="2:11" x14ac:dyDescent="0.25">
      <c r="B72" s="10" t="s">
        <v>6</v>
      </c>
      <c r="D72" s="28">
        <f>SUM(D4:D70)</f>
        <v>3076.7000000000003</v>
      </c>
      <c r="E72" s="3">
        <f>SUM(E4:E70)</f>
        <v>6196.2400000000016</v>
      </c>
    </row>
  </sheetData>
  <hyperlinks>
    <hyperlink ref="A1" location="a34447035" display="a34447035"/>
  </hyperlinks>
  <pageMargins left="0.7" right="0.7" top="0.75" bottom="0.75" header="0.3" footer="0.3"/>
  <pageSetup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5" max="5" width="10.5703125" bestFit="1" customWidth="1"/>
    <col min="7" max="7" width="7.85546875" bestFit="1" customWidth="1"/>
    <col min="9" max="9" width="10.140625" customWidth="1"/>
    <col min="10" max="10" width="10.7109375" bestFit="1" customWidth="1"/>
  </cols>
  <sheetData>
    <row r="1" spans="1:5" x14ac:dyDescent="0.25">
      <c r="A1" s="5">
        <f>Summary!B12</f>
        <v>30497</v>
      </c>
      <c r="B1" s="2" t="str">
        <f>Summary!C12</f>
        <v>571181   18-NC 7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2.2990342405618964</v>
      </c>
      <c r="D4" s="57">
        <v>113.9</v>
      </c>
      <c r="E4" s="74">
        <v>261.86</v>
      </c>
    </row>
    <row r="5" spans="1:5" x14ac:dyDescent="0.25">
      <c r="B5" s="12">
        <v>41061</v>
      </c>
      <c r="C5" s="69">
        <f t="shared" ref="C5:C68" si="0">IF(E5&gt;0,E5/D5,0)</f>
        <v>2.2989972652689152</v>
      </c>
      <c r="D5" s="57">
        <v>109.7</v>
      </c>
      <c r="E5" s="74">
        <v>252.2</v>
      </c>
    </row>
    <row r="6" spans="1:5" x14ac:dyDescent="0.25">
      <c r="B6" s="12">
        <v>41030</v>
      </c>
      <c r="C6" s="69">
        <f t="shared" si="0"/>
        <v>0</v>
      </c>
      <c r="D6" s="57">
        <v>0</v>
      </c>
      <c r="E6" s="74"/>
    </row>
    <row r="7" spans="1:5" x14ac:dyDescent="0.25">
      <c r="B7" s="12">
        <v>41000</v>
      </c>
      <c r="C7" s="69">
        <f t="shared" si="0"/>
        <v>0</v>
      </c>
      <c r="D7" s="57">
        <v>0</v>
      </c>
      <c r="E7" s="74"/>
    </row>
    <row r="8" spans="1:5" x14ac:dyDescent="0.25">
      <c r="B8" s="12">
        <v>40969</v>
      </c>
      <c r="C8" s="69">
        <f t="shared" si="0"/>
        <v>0</v>
      </c>
      <c r="D8" s="57">
        <v>0</v>
      </c>
      <c r="E8" s="74"/>
    </row>
    <row r="9" spans="1:5" x14ac:dyDescent="0.25">
      <c r="B9" s="12">
        <v>40940</v>
      </c>
      <c r="C9" s="69">
        <f t="shared" si="0"/>
        <v>0</v>
      </c>
      <c r="D9" s="74">
        <v>0</v>
      </c>
      <c r="E9" s="74"/>
    </row>
    <row r="10" spans="1:5" x14ac:dyDescent="0.25">
      <c r="B10" s="12">
        <v>40909</v>
      </c>
      <c r="C10" s="69">
        <f t="shared" si="0"/>
        <v>0</v>
      </c>
      <c r="D10" s="74">
        <v>0</v>
      </c>
      <c r="E10" s="74"/>
    </row>
    <row r="11" spans="1:5" x14ac:dyDescent="0.25">
      <c r="B11" s="12">
        <v>40878</v>
      </c>
      <c r="C11" s="69">
        <f t="shared" si="0"/>
        <v>0</v>
      </c>
      <c r="D11" s="74">
        <v>0</v>
      </c>
      <c r="E11" s="74"/>
    </row>
    <row r="12" spans="1:5" x14ac:dyDescent="0.25">
      <c r="B12" s="12">
        <v>40848</v>
      </c>
      <c r="C12" s="69">
        <f t="shared" si="0"/>
        <v>0</v>
      </c>
      <c r="D12" s="74">
        <v>0</v>
      </c>
      <c r="E12" s="74"/>
    </row>
    <row r="13" spans="1:5" x14ac:dyDescent="0.25">
      <c r="B13" s="12">
        <v>40817</v>
      </c>
      <c r="C13" s="69">
        <f t="shared" si="0"/>
        <v>0</v>
      </c>
      <c r="D13" s="74">
        <v>0</v>
      </c>
      <c r="E13" s="74"/>
    </row>
    <row r="14" spans="1:5" x14ac:dyDescent="0.25">
      <c r="B14" s="12">
        <v>40787</v>
      </c>
      <c r="C14" s="69">
        <f t="shared" si="0"/>
        <v>2.2990251827782293</v>
      </c>
      <c r="D14" s="74">
        <v>123.1</v>
      </c>
      <c r="E14" s="74">
        <v>283.01</v>
      </c>
    </row>
    <row r="15" spans="1:5" x14ac:dyDescent="0.25">
      <c r="B15" s="12">
        <v>40756</v>
      </c>
      <c r="C15" s="69">
        <f t="shared" si="0"/>
        <v>1.9989979959919839</v>
      </c>
      <c r="D15" s="74">
        <v>349.3</v>
      </c>
      <c r="E15" s="74">
        <v>698.25</v>
      </c>
    </row>
    <row r="16" spans="1:5" x14ac:dyDescent="0.25">
      <c r="B16" s="12">
        <v>40725</v>
      </c>
      <c r="C16" s="69">
        <f t="shared" si="0"/>
        <v>0</v>
      </c>
      <c r="D16" s="74">
        <v>0</v>
      </c>
      <c r="E16" s="74"/>
    </row>
    <row r="17" spans="2:10" x14ac:dyDescent="0.25">
      <c r="B17" s="12">
        <v>40695</v>
      </c>
      <c r="C17" s="69">
        <f t="shared" si="0"/>
        <v>0</v>
      </c>
      <c r="D17" s="74">
        <v>0</v>
      </c>
      <c r="E17" s="74"/>
    </row>
    <row r="18" spans="2:10" x14ac:dyDescent="0.25">
      <c r="B18" s="12">
        <v>40664</v>
      </c>
      <c r="C18" s="69">
        <f t="shared" si="0"/>
        <v>0</v>
      </c>
      <c r="D18" s="74">
        <v>0</v>
      </c>
      <c r="E18" s="74"/>
    </row>
    <row r="19" spans="2:10" x14ac:dyDescent="0.25">
      <c r="B19" s="12">
        <v>40634</v>
      </c>
      <c r="C19" s="69">
        <f t="shared" si="0"/>
        <v>0</v>
      </c>
      <c r="D19" s="74">
        <v>0</v>
      </c>
      <c r="E19" s="74"/>
    </row>
    <row r="20" spans="2:10" x14ac:dyDescent="0.25">
      <c r="B20" s="12">
        <v>40603</v>
      </c>
      <c r="C20" s="69">
        <f t="shared" si="0"/>
        <v>0</v>
      </c>
      <c r="D20" s="74">
        <v>0</v>
      </c>
      <c r="E20" s="74"/>
      <c r="G20" s="6"/>
      <c r="I20" s="6"/>
      <c r="J20" s="7"/>
    </row>
    <row r="21" spans="2:10" x14ac:dyDescent="0.25">
      <c r="B21" s="12">
        <v>40575</v>
      </c>
      <c r="C21" s="69">
        <f t="shared" si="0"/>
        <v>0</v>
      </c>
      <c r="D21" s="75">
        <v>0</v>
      </c>
      <c r="E21" s="75"/>
      <c r="G21" s="6"/>
      <c r="I21" s="6"/>
      <c r="J21" s="7"/>
    </row>
    <row r="22" spans="2:10" x14ac:dyDescent="0.25">
      <c r="B22" s="12">
        <v>40544</v>
      </c>
      <c r="C22" s="69">
        <f t="shared" si="0"/>
        <v>0</v>
      </c>
      <c r="D22" s="75">
        <v>0</v>
      </c>
      <c r="E22" s="75"/>
      <c r="G22" s="6"/>
      <c r="I22" s="6"/>
      <c r="J22" s="7"/>
    </row>
    <row r="23" spans="2:10" x14ac:dyDescent="0.25">
      <c r="B23" s="12">
        <v>40513</v>
      </c>
      <c r="C23" s="69">
        <f t="shared" si="0"/>
        <v>0</v>
      </c>
      <c r="D23" s="75">
        <v>0</v>
      </c>
      <c r="E23" s="75"/>
      <c r="G23" s="6"/>
      <c r="I23" s="6"/>
      <c r="J23" s="7"/>
    </row>
    <row r="24" spans="2:10" x14ac:dyDescent="0.25">
      <c r="B24" s="12">
        <v>40483</v>
      </c>
      <c r="C24" s="69">
        <f t="shared" si="0"/>
        <v>0</v>
      </c>
      <c r="D24" s="75">
        <v>0</v>
      </c>
      <c r="E24" s="75"/>
      <c r="G24" s="6"/>
      <c r="I24" s="6"/>
      <c r="J24" s="7"/>
    </row>
    <row r="25" spans="2:10" x14ac:dyDescent="0.25">
      <c r="B25" s="12">
        <v>40452</v>
      </c>
      <c r="C25" s="69">
        <f t="shared" si="0"/>
        <v>0</v>
      </c>
      <c r="D25" s="75">
        <v>0</v>
      </c>
      <c r="E25" s="75"/>
      <c r="G25" s="6"/>
      <c r="I25" s="6"/>
      <c r="J25" s="7"/>
    </row>
    <row r="26" spans="2:10" x14ac:dyDescent="0.25">
      <c r="B26" s="12">
        <v>40422</v>
      </c>
      <c r="C26" s="69">
        <f t="shared" si="0"/>
        <v>1.9990033222591364</v>
      </c>
      <c r="D26" s="75">
        <v>150.5</v>
      </c>
      <c r="E26" s="75">
        <v>300.85000000000002</v>
      </c>
      <c r="G26" s="6"/>
      <c r="I26" s="6"/>
      <c r="J26" s="7"/>
    </row>
    <row r="27" spans="2:10" x14ac:dyDescent="0.25">
      <c r="B27" s="12">
        <v>40391</v>
      </c>
      <c r="C27" s="69">
        <f t="shared" si="0"/>
        <v>1.9989879822896903</v>
      </c>
      <c r="D27" s="75">
        <v>158.1</v>
      </c>
      <c r="E27" s="75">
        <v>316.04000000000002</v>
      </c>
      <c r="G27" s="6"/>
      <c r="I27" s="6"/>
      <c r="J27" s="7"/>
    </row>
    <row r="28" spans="2:10" x14ac:dyDescent="0.25">
      <c r="B28" s="12">
        <v>40360</v>
      </c>
      <c r="C28" s="69">
        <f t="shared" si="0"/>
        <v>0</v>
      </c>
      <c r="D28" s="75">
        <v>0</v>
      </c>
      <c r="E28" s="75"/>
      <c r="G28" s="6"/>
      <c r="I28" s="6"/>
      <c r="J28" s="7"/>
    </row>
    <row r="29" spans="2:10" x14ac:dyDescent="0.25">
      <c r="B29" s="12">
        <v>40330</v>
      </c>
      <c r="C29" s="69">
        <f t="shared" si="0"/>
        <v>1.9990274093722371</v>
      </c>
      <c r="D29" s="75">
        <v>113.1</v>
      </c>
      <c r="E29" s="75">
        <v>226.09</v>
      </c>
      <c r="G29" s="6"/>
      <c r="I29" s="6"/>
      <c r="J29" s="7"/>
    </row>
    <row r="30" spans="2:10" x14ac:dyDescent="0.25">
      <c r="B30" s="12">
        <v>40299</v>
      </c>
      <c r="C30" s="69">
        <f t="shared" si="0"/>
        <v>0</v>
      </c>
      <c r="D30" s="75">
        <v>0</v>
      </c>
      <c r="E30" s="75"/>
      <c r="G30" s="6"/>
      <c r="I30" s="6"/>
      <c r="J30" s="7"/>
    </row>
    <row r="31" spans="2:10" x14ac:dyDescent="0.25">
      <c r="B31" s="12">
        <v>40269</v>
      </c>
      <c r="C31" s="69">
        <f t="shared" si="0"/>
        <v>0</v>
      </c>
      <c r="D31" s="75">
        <v>0</v>
      </c>
      <c r="E31" s="75"/>
      <c r="G31" s="6"/>
      <c r="I31" s="6"/>
      <c r="J31" s="7"/>
    </row>
    <row r="32" spans="2:10" x14ac:dyDescent="0.25">
      <c r="B32" s="12">
        <v>40238</v>
      </c>
      <c r="C32" s="69">
        <f t="shared" si="0"/>
        <v>0</v>
      </c>
      <c r="D32" s="75">
        <v>0</v>
      </c>
      <c r="E32" s="75"/>
      <c r="G32" s="6"/>
      <c r="I32" s="6"/>
      <c r="J32" s="7"/>
    </row>
    <row r="33" spans="2:10" x14ac:dyDescent="0.25">
      <c r="B33" s="12">
        <v>40210</v>
      </c>
      <c r="C33" s="69">
        <f t="shared" si="0"/>
        <v>0</v>
      </c>
      <c r="D33" s="75">
        <v>0</v>
      </c>
      <c r="E33" s="75"/>
      <c r="G33" s="6"/>
      <c r="I33" s="6"/>
      <c r="J33" s="7"/>
    </row>
    <row r="34" spans="2:10" x14ac:dyDescent="0.25">
      <c r="B34" s="12">
        <v>40179</v>
      </c>
      <c r="C34" s="69">
        <f t="shared" si="0"/>
        <v>0</v>
      </c>
      <c r="D34" s="75">
        <v>0</v>
      </c>
      <c r="E34" s="75"/>
      <c r="G34" s="6"/>
      <c r="I34" s="6"/>
      <c r="J34" s="7"/>
    </row>
    <row r="35" spans="2:10" x14ac:dyDescent="0.25">
      <c r="B35" s="12">
        <v>40148</v>
      </c>
      <c r="C35" s="69">
        <f t="shared" si="0"/>
        <v>0</v>
      </c>
      <c r="D35" s="75">
        <v>0</v>
      </c>
      <c r="E35" s="75"/>
      <c r="G35" s="6"/>
      <c r="I35" s="6"/>
      <c r="J35" s="7"/>
    </row>
    <row r="36" spans="2:10" x14ac:dyDescent="0.25">
      <c r="B36" s="12">
        <v>40118</v>
      </c>
      <c r="C36" s="69">
        <f t="shared" si="0"/>
        <v>0</v>
      </c>
      <c r="D36" s="75">
        <v>0</v>
      </c>
      <c r="E36" s="75"/>
      <c r="G36" s="6"/>
      <c r="H36" s="6"/>
      <c r="I36" s="6"/>
      <c r="J36" s="7"/>
    </row>
    <row r="37" spans="2:10" x14ac:dyDescent="0.25">
      <c r="B37" s="12">
        <v>40087</v>
      </c>
      <c r="C37" s="69">
        <f t="shared" si="0"/>
        <v>0</v>
      </c>
      <c r="D37" s="75">
        <v>0</v>
      </c>
      <c r="E37" s="75"/>
      <c r="G37" s="6"/>
      <c r="H37" s="6"/>
      <c r="I37" s="6"/>
      <c r="J37" s="7"/>
    </row>
    <row r="38" spans="2:10" x14ac:dyDescent="0.25">
      <c r="B38" s="12">
        <v>40057</v>
      </c>
      <c r="C38" s="69">
        <f t="shared" si="0"/>
        <v>1.7990028490028491</v>
      </c>
      <c r="D38" s="75">
        <v>140.4</v>
      </c>
      <c r="E38" s="75">
        <v>252.58</v>
      </c>
      <c r="G38" s="6"/>
      <c r="H38" s="6"/>
      <c r="I38" s="6"/>
      <c r="J38" s="7"/>
    </row>
    <row r="39" spans="2:10" x14ac:dyDescent="0.25">
      <c r="B39" s="12">
        <v>40026</v>
      </c>
      <c r="C39" s="69">
        <f t="shared" si="0"/>
        <v>1.6990253411306042</v>
      </c>
      <c r="D39" s="75">
        <v>102.6</v>
      </c>
      <c r="E39" s="75">
        <v>174.32</v>
      </c>
      <c r="G39" s="6"/>
      <c r="H39" s="6"/>
      <c r="I39" s="6"/>
      <c r="J39" s="7"/>
    </row>
    <row r="40" spans="2:10" x14ac:dyDescent="0.25">
      <c r="B40" s="12">
        <v>39995</v>
      </c>
      <c r="C40" s="69">
        <f t="shared" si="0"/>
        <v>1.699025069637883</v>
      </c>
      <c r="D40" s="75">
        <v>143.6</v>
      </c>
      <c r="E40" s="75">
        <v>243.98</v>
      </c>
      <c r="G40" s="6"/>
      <c r="H40" s="6"/>
      <c r="I40" s="6"/>
      <c r="J40" s="10"/>
    </row>
    <row r="41" spans="2:10" x14ac:dyDescent="0.25">
      <c r="B41" s="12">
        <v>39965</v>
      </c>
      <c r="C41" s="69">
        <f t="shared" si="0"/>
        <v>1.6990210843373492</v>
      </c>
      <c r="D41" s="75">
        <v>132.80000000000001</v>
      </c>
      <c r="E41" s="75">
        <v>225.63</v>
      </c>
      <c r="G41" s="6"/>
      <c r="I41" s="6"/>
      <c r="J41" s="10"/>
    </row>
    <row r="42" spans="2:10" x14ac:dyDescent="0.25">
      <c r="B42" s="12">
        <v>39934</v>
      </c>
      <c r="C42" s="69">
        <f t="shared" si="0"/>
        <v>0</v>
      </c>
      <c r="D42" s="75">
        <v>0</v>
      </c>
      <c r="E42" s="75"/>
      <c r="G42" s="6"/>
      <c r="I42" s="6"/>
      <c r="J42" s="10"/>
    </row>
    <row r="43" spans="2:10" x14ac:dyDescent="0.25">
      <c r="B43" s="12">
        <v>39904</v>
      </c>
      <c r="C43" s="69">
        <f t="shared" si="0"/>
        <v>0</v>
      </c>
      <c r="D43" s="75">
        <v>0</v>
      </c>
      <c r="E43" s="75"/>
      <c r="G43" s="6"/>
      <c r="I43" s="6"/>
      <c r="J43" s="10"/>
    </row>
    <row r="44" spans="2:10" x14ac:dyDescent="0.25">
      <c r="B44" s="12">
        <v>39873</v>
      </c>
      <c r="C44" s="69">
        <f t="shared" si="0"/>
        <v>0</v>
      </c>
      <c r="D44" s="75">
        <v>0</v>
      </c>
      <c r="E44" s="75"/>
      <c r="G44" s="6"/>
      <c r="I44" s="6"/>
      <c r="J44" s="10"/>
    </row>
    <row r="45" spans="2:10" x14ac:dyDescent="0.25">
      <c r="B45" s="12">
        <v>39845</v>
      </c>
      <c r="C45" s="69">
        <f t="shared" si="0"/>
        <v>0</v>
      </c>
      <c r="D45" s="75">
        <v>0</v>
      </c>
      <c r="E45" s="75"/>
      <c r="G45" s="6"/>
      <c r="I45" s="6"/>
      <c r="J45" s="10"/>
    </row>
    <row r="46" spans="2:10" x14ac:dyDescent="0.25">
      <c r="B46" s="12">
        <v>39814</v>
      </c>
      <c r="C46" s="69">
        <f t="shared" si="0"/>
        <v>0</v>
      </c>
      <c r="D46" s="75">
        <v>0</v>
      </c>
      <c r="E46" s="75"/>
      <c r="G46" s="6"/>
      <c r="I46" s="6"/>
      <c r="J46" s="10"/>
    </row>
    <row r="47" spans="2:10" x14ac:dyDescent="0.25">
      <c r="B47" s="12">
        <v>39783</v>
      </c>
      <c r="C47" s="69">
        <f t="shared" si="0"/>
        <v>0</v>
      </c>
      <c r="D47" s="75">
        <v>0</v>
      </c>
      <c r="E47" s="75"/>
      <c r="G47" s="6"/>
      <c r="I47" s="6"/>
      <c r="J47" s="10"/>
    </row>
    <row r="48" spans="2:10" x14ac:dyDescent="0.25">
      <c r="B48" s="12">
        <v>39753</v>
      </c>
      <c r="C48" s="69">
        <f t="shared" si="0"/>
        <v>0</v>
      </c>
      <c r="D48" s="75">
        <v>0</v>
      </c>
      <c r="E48" s="75"/>
      <c r="G48" s="6"/>
      <c r="H48" s="6"/>
      <c r="I48" s="6"/>
      <c r="J48" s="10"/>
    </row>
    <row r="49" spans="2:11" x14ac:dyDescent="0.25">
      <c r="B49" s="12">
        <v>39722</v>
      </c>
      <c r="C49" s="69">
        <f t="shared" si="0"/>
        <v>0</v>
      </c>
      <c r="D49" s="75">
        <v>0</v>
      </c>
      <c r="E49" s="75"/>
      <c r="G49" s="6"/>
      <c r="H49" s="6"/>
      <c r="I49" s="6"/>
      <c r="J49" s="10"/>
    </row>
    <row r="50" spans="2:11" x14ac:dyDescent="0.25">
      <c r="B50" s="12">
        <v>39692</v>
      </c>
      <c r="C50" s="69">
        <f t="shared" si="0"/>
        <v>0</v>
      </c>
      <c r="D50" s="75">
        <v>0</v>
      </c>
      <c r="E50" s="75"/>
      <c r="G50" s="6"/>
      <c r="H50" s="6"/>
      <c r="I50" s="6"/>
      <c r="J50" s="10"/>
    </row>
    <row r="51" spans="2:11" x14ac:dyDescent="0.25">
      <c r="B51" s="12">
        <v>39661</v>
      </c>
      <c r="C51" s="69">
        <f t="shared" si="0"/>
        <v>2.4989966555183947</v>
      </c>
      <c r="D51" s="75">
        <v>179.4</v>
      </c>
      <c r="E51" s="75">
        <v>448.32</v>
      </c>
      <c r="G51" s="6"/>
      <c r="I51" s="6"/>
      <c r="J51" s="10"/>
    </row>
    <row r="52" spans="2:11" x14ac:dyDescent="0.25">
      <c r="B52" s="12">
        <v>39630</v>
      </c>
      <c r="C52" s="69">
        <f t="shared" si="0"/>
        <v>2.4990192873488071</v>
      </c>
      <c r="D52" s="75">
        <f>102.1+203.8</f>
        <v>305.89999999999998</v>
      </c>
      <c r="E52" s="75">
        <f>255.15+509.3</f>
        <v>764.45</v>
      </c>
      <c r="G52" s="6"/>
      <c r="H52" s="6"/>
      <c r="I52" s="6"/>
      <c r="J52" s="10"/>
    </row>
    <row r="53" spans="2:11" x14ac:dyDescent="0.25">
      <c r="B53" s="12">
        <v>39600</v>
      </c>
      <c r="C53" s="69">
        <f t="shared" si="0"/>
        <v>1.9990424076607387</v>
      </c>
      <c r="D53" s="75">
        <v>73.099999999999994</v>
      </c>
      <c r="E53" s="75">
        <v>146.13</v>
      </c>
      <c r="G53" s="6"/>
      <c r="I53" s="6"/>
      <c r="J53" s="10"/>
    </row>
    <row r="54" spans="2:11" x14ac:dyDescent="0.25">
      <c r="B54" s="12">
        <v>39569</v>
      </c>
      <c r="C54" s="69">
        <f t="shared" si="0"/>
        <v>0</v>
      </c>
      <c r="D54" s="75">
        <v>0</v>
      </c>
      <c r="E54" s="75"/>
      <c r="G54" s="6"/>
      <c r="I54" s="6"/>
      <c r="J54" s="10"/>
    </row>
    <row r="55" spans="2:11" x14ac:dyDescent="0.25">
      <c r="B55" s="12">
        <v>39539</v>
      </c>
      <c r="C55" s="69">
        <f t="shared" si="0"/>
        <v>0</v>
      </c>
      <c r="D55" s="75">
        <v>0</v>
      </c>
      <c r="E55" s="75"/>
      <c r="G55" s="6"/>
      <c r="I55" s="6"/>
      <c r="J55" s="10"/>
    </row>
    <row r="56" spans="2:11" x14ac:dyDescent="0.25">
      <c r="B56" s="12">
        <v>39508</v>
      </c>
      <c r="C56" s="69">
        <f t="shared" si="0"/>
        <v>0</v>
      </c>
      <c r="D56" s="75">
        <v>0</v>
      </c>
      <c r="E56" s="75"/>
      <c r="G56" s="6"/>
      <c r="I56" s="6"/>
      <c r="J56" s="10"/>
    </row>
    <row r="57" spans="2:11" x14ac:dyDescent="0.25">
      <c r="B57" s="12">
        <v>39479</v>
      </c>
      <c r="C57" s="69">
        <f t="shared" si="0"/>
        <v>0</v>
      </c>
      <c r="D57" s="75">
        <v>0</v>
      </c>
      <c r="E57" s="75"/>
      <c r="G57" s="6"/>
      <c r="I57" s="6"/>
      <c r="J57" s="10"/>
    </row>
    <row r="58" spans="2:11" x14ac:dyDescent="0.25">
      <c r="B58" s="12">
        <v>39448</v>
      </c>
      <c r="C58" s="69">
        <f t="shared" si="0"/>
        <v>0</v>
      </c>
      <c r="D58" s="75">
        <v>0</v>
      </c>
      <c r="E58" s="75"/>
      <c r="G58" s="6"/>
      <c r="I58" s="6"/>
      <c r="J58" s="10"/>
    </row>
    <row r="59" spans="2:11" x14ac:dyDescent="0.25">
      <c r="B59" s="12">
        <v>39417</v>
      </c>
      <c r="C59" s="69">
        <f t="shared" si="0"/>
        <v>0</v>
      </c>
      <c r="D59" s="75">
        <v>0</v>
      </c>
      <c r="E59" s="75"/>
      <c r="G59" s="6"/>
      <c r="J59" s="10"/>
    </row>
    <row r="60" spans="2:11" x14ac:dyDescent="0.25">
      <c r="B60" s="12">
        <v>39387</v>
      </c>
      <c r="C60" s="69">
        <f t="shared" si="0"/>
        <v>0</v>
      </c>
      <c r="D60" s="75">
        <v>0</v>
      </c>
      <c r="E60" s="75"/>
      <c r="G60" s="6"/>
      <c r="I60" s="6"/>
      <c r="J60" s="7"/>
      <c r="K60" s="23"/>
    </row>
    <row r="61" spans="2:11" x14ac:dyDescent="0.25">
      <c r="B61" s="12">
        <v>39356</v>
      </c>
      <c r="C61" s="69">
        <f t="shared" si="0"/>
        <v>0</v>
      </c>
      <c r="D61" s="75">
        <v>0</v>
      </c>
      <c r="E61" s="75"/>
      <c r="G61" s="6"/>
      <c r="I61" s="6"/>
      <c r="J61" s="7"/>
      <c r="K61" s="23"/>
    </row>
    <row r="62" spans="2:11" x14ac:dyDescent="0.25">
      <c r="B62" s="12">
        <v>39326</v>
      </c>
      <c r="C62" s="69">
        <f t="shared" si="0"/>
        <v>0</v>
      </c>
      <c r="D62" s="75">
        <v>0</v>
      </c>
      <c r="E62" s="75"/>
      <c r="G62" s="6"/>
      <c r="I62" s="6"/>
      <c r="J62" s="7"/>
      <c r="K62" s="23"/>
    </row>
    <row r="63" spans="2:11" x14ac:dyDescent="0.25">
      <c r="B63" s="12">
        <v>39295</v>
      </c>
      <c r="C63" s="69">
        <f t="shared" si="0"/>
        <v>1.7490189873417723</v>
      </c>
      <c r="D63" s="75">
        <f>152+164</f>
        <v>316</v>
      </c>
      <c r="E63" s="75">
        <f>265.85+286.84</f>
        <v>552.69000000000005</v>
      </c>
      <c r="G63" s="6"/>
      <c r="I63" s="6"/>
      <c r="J63" s="7"/>
      <c r="K63" s="23"/>
    </row>
    <row r="64" spans="2:11" x14ac:dyDescent="0.25">
      <c r="B64" s="12">
        <v>39264</v>
      </c>
      <c r="C64" s="69">
        <f t="shared" si="0"/>
        <v>1.6490285714285713</v>
      </c>
      <c r="D64" s="75">
        <v>175</v>
      </c>
      <c r="E64" s="75">
        <v>288.58</v>
      </c>
      <c r="G64" s="6"/>
      <c r="I64" s="6"/>
      <c r="J64" s="7"/>
      <c r="K64" s="23"/>
    </row>
    <row r="65" spans="2:11" x14ac:dyDescent="0.25">
      <c r="B65" s="12">
        <v>39234</v>
      </c>
      <c r="C65" s="69">
        <f t="shared" si="0"/>
        <v>0</v>
      </c>
      <c r="D65" s="75">
        <v>0</v>
      </c>
      <c r="E65" s="75"/>
      <c r="G65" s="6"/>
      <c r="I65" s="6"/>
      <c r="J65" s="7"/>
      <c r="K65" s="23"/>
    </row>
    <row r="66" spans="2:11" x14ac:dyDescent="0.25">
      <c r="B66" s="12">
        <v>39203</v>
      </c>
      <c r="C66" s="69">
        <f t="shared" si="0"/>
        <v>0</v>
      </c>
      <c r="D66" s="75">
        <v>0</v>
      </c>
      <c r="E66" s="75"/>
      <c r="G66" s="6"/>
      <c r="I66" s="6"/>
      <c r="J66" s="7"/>
      <c r="K66" s="23"/>
    </row>
    <row r="67" spans="2:11" x14ac:dyDescent="0.25">
      <c r="B67" s="12">
        <v>39173</v>
      </c>
      <c r="C67" s="69">
        <f t="shared" si="0"/>
        <v>0</v>
      </c>
      <c r="D67" s="75">
        <v>0</v>
      </c>
      <c r="E67" s="75"/>
      <c r="G67" s="6"/>
      <c r="I67" s="6"/>
      <c r="J67" s="7"/>
      <c r="K67" s="23"/>
    </row>
    <row r="68" spans="2:11" x14ac:dyDescent="0.25">
      <c r="B68" s="12">
        <v>39142</v>
      </c>
      <c r="C68" s="69">
        <f t="shared" si="0"/>
        <v>0</v>
      </c>
      <c r="D68" s="75">
        <v>0</v>
      </c>
      <c r="E68" s="75"/>
      <c r="G68" s="6"/>
      <c r="I68" s="6"/>
      <c r="J68" s="7"/>
      <c r="K68" s="23"/>
    </row>
    <row r="69" spans="2:11" x14ac:dyDescent="0.25">
      <c r="B69" s="12">
        <v>39114</v>
      </c>
      <c r="C69" s="69">
        <f t="shared" ref="C69:C70" si="1">IF(E69&gt;0,E69/D69,0)</f>
        <v>0</v>
      </c>
      <c r="D69" s="75">
        <v>0</v>
      </c>
      <c r="E69" s="75"/>
      <c r="G69" s="6"/>
      <c r="I69" s="6"/>
      <c r="J69" s="7"/>
      <c r="K69" s="23"/>
    </row>
    <row r="70" spans="2:11" x14ac:dyDescent="0.25">
      <c r="B70" s="12">
        <v>39083</v>
      </c>
      <c r="C70" s="69">
        <f t="shared" si="1"/>
        <v>0</v>
      </c>
      <c r="D70" s="75">
        <v>0</v>
      </c>
      <c r="E70" s="75"/>
      <c r="G70" s="6"/>
      <c r="I70" s="6"/>
      <c r="J70" s="7"/>
      <c r="K70" s="23"/>
    </row>
    <row r="72" spans="2:11" x14ac:dyDescent="0.25">
      <c r="B72" s="10" t="s">
        <v>6</v>
      </c>
      <c r="D72" s="28">
        <f>SUM(D4:D70)</f>
        <v>2686.5</v>
      </c>
      <c r="E72" s="3">
        <f>SUM(E4:E70)</f>
        <v>5434.9800000000014</v>
      </c>
    </row>
  </sheetData>
  <hyperlinks>
    <hyperlink ref="A1" location="a34098366" display="a34098366"/>
  </hyperlink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5" max="5" width="11.5703125" bestFit="1" customWidth="1"/>
    <col min="7" max="7" width="13" customWidth="1"/>
    <col min="9" max="10" width="12.42578125" customWidth="1"/>
  </cols>
  <sheetData>
    <row r="1" spans="1:5" x14ac:dyDescent="0.25">
      <c r="A1" s="5">
        <f>Summary!B13</f>
        <v>30498</v>
      </c>
      <c r="B1" s="2" t="str">
        <f>Summary!C13</f>
        <v>030777: 620481   SC 1 Laundry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2.2989986939486289</v>
      </c>
      <c r="D4" s="57">
        <v>229.7</v>
      </c>
      <c r="E4" s="75">
        <v>528.08000000000004</v>
      </c>
    </row>
    <row r="5" spans="1:5" x14ac:dyDescent="0.25">
      <c r="B5" s="12">
        <v>41061</v>
      </c>
      <c r="C5" s="69">
        <f t="shared" ref="C5:C68" si="0">IF(E5&gt;0,E5/D5,0)</f>
        <v>0</v>
      </c>
      <c r="D5" s="57">
        <v>0</v>
      </c>
      <c r="E5" s="75"/>
    </row>
    <row r="6" spans="1:5" x14ac:dyDescent="0.25">
      <c r="B6" s="12">
        <v>41030</v>
      </c>
      <c r="C6" s="69">
        <f t="shared" si="0"/>
        <v>2.298998646820027</v>
      </c>
      <c r="D6" s="57">
        <v>369.5</v>
      </c>
      <c r="E6" s="75">
        <v>849.48</v>
      </c>
    </row>
    <row r="7" spans="1:5" x14ac:dyDescent="0.25">
      <c r="B7" s="12">
        <v>41000</v>
      </c>
      <c r="C7" s="69">
        <f t="shared" si="0"/>
        <v>0</v>
      </c>
      <c r="D7" s="57">
        <v>0</v>
      </c>
      <c r="E7" s="75"/>
    </row>
    <row r="8" spans="1:5" x14ac:dyDescent="0.25">
      <c r="B8" s="12">
        <v>40969</v>
      </c>
      <c r="C8" s="69">
        <f t="shared" si="0"/>
        <v>0</v>
      </c>
      <c r="D8" s="57">
        <v>0</v>
      </c>
      <c r="E8" s="75"/>
    </row>
    <row r="9" spans="1:5" x14ac:dyDescent="0.25">
      <c r="B9" s="12">
        <v>40940</v>
      </c>
      <c r="C9" s="69">
        <f t="shared" si="0"/>
        <v>2.2989947877885331</v>
      </c>
      <c r="D9" s="74">
        <v>268.60000000000002</v>
      </c>
      <c r="E9" s="75">
        <v>617.51</v>
      </c>
    </row>
    <row r="10" spans="1:5" x14ac:dyDescent="0.25">
      <c r="B10" s="12">
        <v>40909</v>
      </c>
      <c r="C10" s="69">
        <f t="shared" si="0"/>
        <v>2.2990054249547924</v>
      </c>
      <c r="D10" s="74">
        <v>442.4</v>
      </c>
      <c r="E10" s="75">
        <v>1017.08</v>
      </c>
    </row>
    <row r="11" spans="1:5" x14ac:dyDescent="0.25">
      <c r="B11" s="12">
        <v>40878</v>
      </c>
      <c r="C11" s="69">
        <f t="shared" si="0"/>
        <v>0</v>
      </c>
      <c r="D11" s="74">
        <v>0</v>
      </c>
      <c r="E11" s="75"/>
    </row>
    <row r="12" spans="1:5" x14ac:dyDescent="0.25">
      <c r="B12" s="12">
        <v>40848</v>
      </c>
      <c r="C12" s="69">
        <f t="shared" si="0"/>
        <v>2.2990072202166063</v>
      </c>
      <c r="D12" s="74">
        <v>110.8</v>
      </c>
      <c r="E12" s="75">
        <v>254.73</v>
      </c>
    </row>
    <row r="13" spans="1:5" x14ac:dyDescent="0.25">
      <c r="B13" s="12">
        <v>40817</v>
      </c>
      <c r="C13" s="69">
        <f t="shared" si="0"/>
        <v>0</v>
      </c>
      <c r="D13" s="74">
        <v>0</v>
      </c>
      <c r="E13" s="75"/>
    </row>
    <row r="14" spans="1:5" x14ac:dyDescent="0.25">
      <c r="B14" s="12">
        <v>40787</v>
      </c>
      <c r="C14" s="69">
        <f t="shared" si="0"/>
        <v>2.2990221307256817</v>
      </c>
      <c r="D14" s="74">
        <v>194.3</v>
      </c>
      <c r="E14" s="75">
        <v>446.7</v>
      </c>
    </row>
    <row r="15" spans="1:5" x14ac:dyDescent="0.25">
      <c r="B15" s="12">
        <v>40756</v>
      </c>
      <c r="C15" s="69">
        <f t="shared" si="0"/>
        <v>1.9990126382306477</v>
      </c>
      <c r="D15" s="74">
        <v>253.2</v>
      </c>
      <c r="E15" s="75">
        <v>506.15</v>
      </c>
    </row>
    <row r="16" spans="1:5" x14ac:dyDescent="0.25">
      <c r="B16" s="12">
        <v>40725</v>
      </c>
      <c r="C16" s="69">
        <f t="shared" si="0"/>
        <v>1.9990196078431373</v>
      </c>
      <c r="D16" s="74">
        <v>193.8</v>
      </c>
      <c r="E16" s="75">
        <v>387.41</v>
      </c>
    </row>
    <row r="17" spans="2:10" x14ac:dyDescent="0.25">
      <c r="B17" s="12">
        <v>40695</v>
      </c>
      <c r="C17" s="69">
        <f t="shared" si="0"/>
        <v>0</v>
      </c>
      <c r="D17" s="74">
        <v>0</v>
      </c>
      <c r="E17" s="75"/>
    </row>
    <row r="18" spans="2:10" x14ac:dyDescent="0.25">
      <c r="B18" s="12">
        <v>40664</v>
      </c>
      <c r="C18" s="69">
        <f t="shared" si="0"/>
        <v>2.0080652469415496</v>
      </c>
      <c r="D18" s="74">
        <v>220.7</v>
      </c>
      <c r="E18" s="75">
        <v>443.18</v>
      </c>
    </row>
    <row r="19" spans="2:10" x14ac:dyDescent="0.25">
      <c r="B19" s="12">
        <v>40634</v>
      </c>
      <c r="C19" s="69">
        <f t="shared" si="0"/>
        <v>0</v>
      </c>
      <c r="D19" s="74">
        <v>0</v>
      </c>
      <c r="E19" s="75"/>
    </row>
    <row r="20" spans="2:10" x14ac:dyDescent="0.25">
      <c r="B20" s="12">
        <v>40603</v>
      </c>
      <c r="C20" s="69">
        <f t="shared" si="0"/>
        <v>0</v>
      </c>
      <c r="D20" s="74">
        <v>0</v>
      </c>
      <c r="E20" s="75"/>
      <c r="G20" s="6"/>
      <c r="I20" s="6"/>
      <c r="J20" s="10"/>
    </row>
    <row r="21" spans="2:10" x14ac:dyDescent="0.25">
      <c r="B21" s="12">
        <v>40575</v>
      </c>
      <c r="C21" s="69">
        <f t="shared" si="0"/>
        <v>1.9989932885906039</v>
      </c>
      <c r="D21" s="75">
        <v>119.2</v>
      </c>
      <c r="E21" s="75">
        <v>238.28</v>
      </c>
      <c r="G21" s="6"/>
      <c r="I21" s="6"/>
      <c r="J21" s="10"/>
    </row>
    <row r="22" spans="2:10" x14ac:dyDescent="0.25">
      <c r="B22" s="12">
        <v>40544</v>
      </c>
      <c r="C22" s="69">
        <f t="shared" si="0"/>
        <v>1.9989809481612761</v>
      </c>
      <c r="D22" s="75">
        <v>225.7</v>
      </c>
      <c r="E22" s="75">
        <v>451.17</v>
      </c>
      <c r="G22" s="6"/>
      <c r="I22" s="6"/>
      <c r="J22" s="10"/>
    </row>
    <row r="23" spans="2:10" x14ac:dyDescent="0.25">
      <c r="B23" s="12">
        <v>40513</v>
      </c>
      <c r="C23" s="69">
        <f t="shared" si="0"/>
        <v>1.9990042674253201</v>
      </c>
      <c r="D23" s="75">
        <v>140.6</v>
      </c>
      <c r="E23" s="75">
        <v>281.06</v>
      </c>
      <c r="G23" s="6"/>
      <c r="I23" s="6"/>
      <c r="J23" s="10"/>
    </row>
    <row r="24" spans="2:10" x14ac:dyDescent="0.25">
      <c r="B24" s="12">
        <v>40483</v>
      </c>
      <c r="C24" s="69">
        <f t="shared" si="0"/>
        <v>1.998981324278438</v>
      </c>
      <c r="D24" s="75">
        <v>117.8</v>
      </c>
      <c r="E24" s="75">
        <v>235.48</v>
      </c>
      <c r="G24" s="6"/>
      <c r="I24" s="6"/>
      <c r="J24" s="10"/>
    </row>
    <row r="25" spans="2:10" x14ac:dyDescent="0.25">
      <c r="B25" s="12">
        <v>40452</v>
      </c>
      <c r="C25" s="69">
        <f t="shared" si="0"/>
        <v>0</v>
      </c>
      <c r="D25" s="75">
        <v>0</v>
      </c>
      <c r="E25" s="75"/>
      <c r="G25" s="6"/>
      <c r="I25" s="6"/>
      <c r="J25" s="10"/>
    </row>
    <row r="26" spans="2:10" x14ac:dyDescent="0.25">
      <c r="B26" s="12">
        <v>40422</v>
      </c>
      <c r="C26" s="69">
        <f t="shared" si="0"/>
        <v>1.9990021691973969</v>
      </c>
      <c r="D26" s="75">
        <f>326.3+134.7</f>
        <v>461</v>
      </c>
      <c r="E26" s="75">
        <f>652.27+269.27</f>
        <v>921.54</v>
      </c>
      <c r="G26" s="6"/>
      <c r="I26" s="6"/>
      <c r="J26" s="10"/>
    </row>
    <row r="27" spans="2:10" x14ac:dyDescent="0.25">
      <c r="B27" s="12">
        <v>40391</v>
      </c>
      <c r="C27" s="69">
        <f t="shared" si="0"/>
        <v>1.9990189208128943</v>
      </c>
      <c r="D27" s="75">
        <v>142.69999999999999</v>
      </c>
      <c r="E27" s="75">
        <v>285.26</v>
      </c>
      <c r="G27" s="6"/>
      <c r="I27" s="6"/>
      <c r="J27" s="10"/>
    </row>
    <row r="28" spans="2:10" x14ac:dyDescent="0.25">
      <c r="B28" s="12">
        <v>40360</v>
      </c>
      <c r="C28" s="69">
        <f t="shared" si="0"/>
        <v>0</v>
      </c>
      <c r="D28" s="75">
        <v>0</v>
      </c>
      <c r="E28" s="75"/>
      <c r="G28" s="6"/>
      <c r="I28" s="6"/>
      <c r="J28" s="10"/>
    </row>
    <row r="29" spans="2:10" x14ac:dyDescent="0.25">
      <c r="B29" s="12">
        <v>40330</v>
      </c>
      <c r="C29" s="69">
        <f t="shared" si="0"/>
        <v>1.9989690721649482</v>
      </c>
      <c r="D29" s="75">
        <v>135.80000000000001</v>
      </c>
      <c r="E29" s="75">
        <v>271.45999999999998</v>
      </c>
      <c r="G29" s="6"/>
      <c r="I29" s="6"/>
      <c r="J29" s="10"/>
    </row>
    <row r="30" spans="2:10" x14ac:dyDescent="0.25">
      <c r="B30" s="12">
        <v>40299</v>
      </c>
      <c r="C30" s="69">
        <f t="shared" si="0"/>
        <v>1.7990439770554494</v>
      </c>
      <c r="D30" s="75">
        <v>52.3</v>
      </c>
      <c r="E30" s="75">
        <v>94.09</v>
      </c>
      <c r="G30" s="6"/>
      <c r="I30" s="6"/>
      <c r="J30" s="10"/>
    </row>
    <row r="31" spans="2:10" x14ac:dyDescent="0.25">
      <c r="B31" s="12">
        <v>40269</v>
      </c>
      <c r="C31" s="69">
        <f t="shared" si="0"/>
        <v>0</v>
      </c>
      <c r="D31" s="75">
        <v>0</v>
      </c>
      <c r="E31" s="75"/>
      <c r="G31" s="6"/>
      <c r="I31" s="6"/>
      <c r="J31" s="10"/>
    </row>
    <row r="32" spans="2:10" x14ac:dyDescent="0.25">
      <c r="B32" s="12">
        <v>40238</v>
      </c>
      <c r="C32" s="69">
        <f t="shared" si="0"/>
        <v>1.799000434593655</v>
      </c>
      <c r="D32" s="75">
        <v>230.1</v>
      </c>
      <c r="E32" s="75">
        <v>413.95</v>
      </c>
      <c r="G32" s="6"/>
      <c r="I32" s="6"/>
      <c r="J32" s="10"/>
    </row>
    <row r="33" spans="2:10" x14ac:dyDescent="0.25">
      <c r="B33" s="12">
        <v>40210</v>
      </c>
      <c r="C33" s="69">
        <f t="shared" si="0"/>
        <v>1.7990062111801242</v>
      </c>
      <c r="D33" s="75">
        <v>161</v>
      </c>
      <c r="E33" s="75">
        <v>289.64</v>
      </c>
      <c r="G33" s="6"/>
      <c r="I33" s="6"/>
      <c r="J33" s="10"/>
    </row>
    <row r="34" spans="2:10" x14ac:dyDescent="0.25">
      <c r="B34" s="12">
        <v>40179</v>
      </c>
      <c r="C34" s="69">
        <f t="shared" si="0"/>
        <v>0</v>
      </c>
      <c r="D34" s="75">
        <v>0</v>
      </c>
      <c r="E34" s="75"/>
      <c r="G34" s="6"/>
      <c r="I34" s="6"/>
      <c r="J34" s="10"/>
    </row>
    <row r="35" spans="2:10" x14ac:dyDescent="0.25">
      <c r="B35" s="12">
        <v>40148</v>
      </c>
      <c r="C35" s="69">
        <f t="shared" si="0"/>
        <v>1.7989816700610997</v>
      </c>
      <c r="D35" s="75">
        <v>196.4</v>
      </c>
      <c r="E35" s="75">
        <v>353.32</v>
      </c>
      <c r="G35" s="6"/>
      <c r="I35" s="6"/>
      <c r="J35" s="10"/>
    </row>
    <row r="36" spans="2:10" x14ac:dyDescent="0.25">
      <c r="B36" s="12">
        <v>40118</v>
      </c>
      <c r="C36" s="69">
        <f t="shared" si="0"/>
        <v>1.7989990154250082</v>
      </c>
      <c r="D36" s="75">
        <v>609.4</v>
      </c>
      <c r="E36" s="75">
        <v>1096.31</v>
      </c>
      <c r="G36" s="6"/>
      <c r="I36" s="6"/>
      <c r="J36" s="10"/>
    </row>
    <row r="37" spans="2:10" x14ac:dyDescent="0.25">
      <c r="B37" s="12">
        <v>40087</v>
      </c>
      <c r="C37" s="69">
        <f t="shared" si="0"/>
        <v>0</v>
      </c>
      <c r="D37" s="75">
        <v>0</v>
      </c>
      <c r="E37" s="75"/>
      <c r="G37" s="6"/>
      <c r="H37" s="6"/>
      <c r="I37" s="6"/>
      <c r="J37" s="10"/>
    </row>
    <row r="38" spans="2:10" x14ac:dyDescent="0.25">
      <c r="B38" s="12">
        <v>40057</v>
      </c>
      <c r="C38" s="69">
        <f t="shared" si="0"/>
        <v>0</v>
      </c>
      <c r="D38" s="75">
        <v>0</v>
      </c>
      <c r="E38" s="75"/>
      <c r="G38" s="6"/>
      <c r="I38" s="6"/>
      <c r="J38" s="10"/>
    </row>
    <row r="39" spans="2:10" x14ac:dyDescent="0.25">
      <c r="B39" s="12">
        <v>40026</v>
      </c>
      <c r="C39" s="69">
        <f t="shared" si="0"/>
        <v>0</v>
      </c>
      <c r="D39" s="75">
        <v>0</v>
      </c>
      <c r="E39" s="75"/>
      <c r="G39" s="6"/>
      <c r="I39" s="6"/>
      <c r="J39" s="10"/>
    </row>
    <row r="40" spans="2:10" x14ac:dyDescent="0.25">
      <c r="B40" s="12">
        <v>39995</v>
      </c>
      <c r="C40" s="69">
        <f t="shared" si="0"/>
        <v>1.6989881367759943</v>
      </c>
      <c r="D40" s="75">
        <v>286.60000000000002</v>
      </c>
      <c r="E40" s="75">
        <v>486.93</v>
      </c>
      <c r="G40" s="6"/>
      <c r="I40" s="6"/>
      <c r="J40" s="10"/>
    </row>
    <row r="41" spans="2:10" x14ac:dyDescent="0.25">
      <c r="B41" s="12">
        <v>39965</v>
      </c>
      <c r="C41" s="69">
        <f t="shared" si="0"/>
        <v>1.6989769820971865</v>
      </c>
      <c r="D41" s="75">
        <v>195.5</v>
      </c>
      <c r="E41" s="75">
        <v>332.15</v>
      </c>
      <c r="G41" s="6"/>
      <c r="I41" s="6"/>
      <c r="J41" s="10"/>
    </row>
    <row r="42" spans="2:10" x14ac:dyDescent="0.25">
      <c r="B42" s="12">
        <v>39934</v>
      </c>
      <c r="C42" s="69">
        <f t="shared" si="0"/>
        <v>0</v>
      </c>
      <c r="D42" s="75">
        <v>0</v>
      </c>
      <c r="E42" s="75"/>
      <c r="G42" s="6"/>
      <c r="I42" s="6"/>
      <c r="J42" s="10"/>
    </row>
    <row r="43" spans="2:10" x14ac:dyDescent="0.25">
      <c r="B43" s="12">
        <v>39904</v>
      </c>
      <c r="C43" s="69">
        <f t="shared" si="0"/>
        <v>0</v>
      </c>
      <c r="D43" s="75">
        <v>0</v>
      </c>
      <c r="E43" s="75"/>
      <c r="G43" s="6"/>
      <c r="I43" s="6"/>
      <c r="J43" s="10"/>
    </row>
    <row r="44" spans="2:10" x14ac:dyDescent="0.25">
      <c r="B44" s="12">
        <v>39873</v>
      </c>
      <c r="C44" s="69">
        <f t="shared" si="0"/>
        <v>1.9989703210175651</v>
      </c>
      <c r="D44" s="75">
        <v>165.1</v>
      </c>
      <c r="E44" s="75">
        <v>330.03</v>
      </c>
      <c r="G44" s="6"/>
      <c r="I44" s="6"/>
      <c r="J44" s="10"/>
    </row>
    <row r="45" spans="2:10" x14ac:dyDescent="0.25">
      <c r="B45" s="12">
        <v>39845</v>
      </c>
      <c r="C45" s="69">
        <f t="shared" si="0"/>
        <v>2.3185391104294477</v>
      </c>
      <c r="D45" s="75">
        <f>235.3+286.3</f>
        <v>521.6</v>
      </c>
      <c r="E45" s="75">
        <f>493.89+715.46</f>
        <v>1209.3499999999999</v>
      </c>
      <c r="G45" s="6"/>
      <c r="I45" s="6"/>
      <c r="J45" s="10"/>
    </row>
    <row r="46" spans="2:10" x14ac:dyDescent="0.25">
      <c r="B46" s="12">
        <v>39814</v>
      </c>
      <c r="C46" s="69">
        <f t="shared" si="0"/>
        <v>2.4989891426432047</v>
      </c>
      <c r="D46" s="75">
        <v>267.10000000000002</v>
      </c>
      <c r="E46" s="75">
        <v>667.48</v>
      </c>
      <c r="G46" s="6"/>
      <c r="I46" s="6"/>
      <c r="J46" s="10"/>
    </row>
    <row r="47" spans="2:10" x14ac:dyDescent="0.25">
      <c r="B47" s="12">
        <v>39783</v>
      </c>
      <c r="C47" s="69">
        <f t="shared" si="0"/>
        <v>2.4989851150202975</v>
      </c>
      <c r="D47" s="75">
        <v>295.60000000000002</v>
      </c>
      <c r="E47" s="75">
        <v>738.7</v>
      </c>
      <c r="G47" s="6"/>
      <c r="I47" s="6"/>
      <c r="J47" s="10"/>
    </row>
    <row r="48" spans="2:10" x14ac:dyDescent="0.25">
      <c r="B48" s="12">
        <v>39753</v>
      </c>
      <c r="C48" s="69">
        <f t="shared" si="0"/>
        <v>0</v>
      </c>
      <c r="D48" s="75">
        <v>0</v>
      </c>
      <c r="E48" s="75"/>
      <c r="G48" s="6"/>
      <c r="I48" s="6"/>
      <c r="J48" s="10"/>
    </row>
    <row r="49" spans="2:10" x14ac:dyDescent="0.25">
      <c r="B49" s="12">
        <v>39722</v>
      </c>
      <c r="C49" s="69">
        <f t="shared" si="0"/>
        <v>0</v>
      </c>
      <c r="D49" s="75">
        <v>0</v>
      </c>
      <c r="E49" s="75"/>
      <c r="G49" s="6"/>
      <c r="I49" s="6"/>
      <c r="J49" s="10"/>
    </row>
    <row r="50" spans="2:10" x14ac:dyDescent="0.25">
      <c r="B50" s="12">
        <v>39692</v>
      </c>
      <c r="C50" s="69">
        <f t="shared" si="0"/>
        <v>2.4990252293577981</v>
      </c>
      <c r="D50" s="75">
        <v>174.4</v>
      </c>
      <c r="E50" s="75">
        <v>435.83</v>
      </c>
      <c r="G50" s="6"/>
      <c r="I50" s="6"/>
      <c r="J50" s="10"/>
    </row>
    <row r="51" spans="2:10" x14ac:dyDescent="0.25">
      <c r="B51" s="12">
        <v>39661</v>
      </c>
      <c r="C51" s="69">
        <f t="shared" si="0"/>
        <v>2.4989894551845344</v>
      </c>
      <c r="D51" s="75">
        <v>227.6</v>
      </c>
      <c r="E51" s="75">
        <v>568.77</v>
      </c>
      <c r="G51" s="6"/>
      <c r="I51" s="6"/>
      <c r="J51" s="10"/>
    </row>
    <row r="52" spans="2:10" x14ac:dyDescent="0.25">
      <c r="B52" s="12">
        <v>39630</v>
      </c>
      <c r="C52" s="69">
        <f t="shared" si="0"/>
        <v>2.4989952904238617</v>
      </c>
      <c r="D52" s="75">
        <v>318.5</v>
      </c>
      <c r="E52" s="75">
        <v>795.93</v>
      </c>
      <c r="G52" s="6"/>
      <c r="I52" s="6"/>
      <c r="J52" s="10"/>
    </row>
    <row r="53" spans="2:10" x14ac:dyDescent="0.25">
      <c r="B53" s="12">
        <v>39600</v>
      </c>
      <c r="C53" s="69">
        <f t="shared" si="0"/>
        <v>0</v>
      </c>
      <c r="D53" s="75">
        <v>0</v>
      </c>
      <c r="E53" s="75"/>
      <c r="G53" s="6"/>
      <c r="I53" s="6"/>
      <c r="J53" s="10"/>
    </row>
    <row r="54" spans="2:10" x14ac:dyDescent="0.25">
      <c r="B54" s="12">
        <v>39569</v>
      </c>
      <c r="C54" s="69">
        <f t="shared" si="0"/>
        <v>1.9989999999999999</v>
      </c>
      <c r="D54" s="75">
        <v>240</v>
      </c>
      <c r="E54" s="75">
        <v>479.76</v>
      </c>
      <c r="G54" s="6"/>
      <c r="I54" s="6"/>
      <c r="J54" s="10"/>
    </row>
    <row r="55" spans="2:10" x14ac:dyDescent="0.25">
      <c r="B55" s="12">
        <v>39539</v>
      </c>
      <c r="C55" s="69">
        <f t="shared" si="0"/>
        <v>0</v>
      </c>
      <c r="D55" s="75">
        <v>0</v>
      </c>
      <c r="E55" s="75"/>
      <c r="G55" s="6"/>
      <c r="I55" s="6"/>
      <c r="J55" s="10"/>
    </row>
    <row r="56" spans="2:10" x14ac:dyDescent="0.25">
      <c r="B56" s="12">
        <v>39508</v>
      </c>
      <c r="C56" s="69">
        <f t="shared" si="0"/>
        <v>1.9990032154340838</v>
      </c>
      <c r="D56" s="75">
        <f>139+483</f>
        <v>622</v>
      </c>
      <c r="E56" s="75">
        <f>277.86+965.52</f>
        <v>1243.3800000000001</v>
      </c>
      <c r="G56" s="6"/>
      <c r="I56" s="6"/>
      <c r="J56" s="10"/>
    </row>
    <row r="57" spans="2:10" x14ac:dyDescent="0.25">
      <c r="B57" s="12">
        <v>39479</v>
      </c>
      <c r="C57" s="69">
        <f t="shared" si="0"/>
        <v>0</v>
      </c>
      <c r="D57" s="75">
        <v>0</v>
      </c>
      <c r="E57" s="75"/>
      <c r="G57" s="6"/>
      <c r="I57" s="6"/>
      <c r="J57" s="10"/>
    </row>
    <row r="58" spans="2:10" x14ac:dyDescent="0.25">
      <c r="B58" s="12">
        <v>39448</v>
      </c>
      <c r="C58" s="69">
        <f t="shared" si="0"/>
        <v>0</v>
      </c>
      <c r="D58" s="75">
        <v>0</v>
      </c>
      <c r="E58" s="75"/>
      <c r="G58" s="6"/>
      <c r="I58" s="6"/>
      <c r="J58" s="10"/>
    </row>
    <row r="59" spans="2:10" x14ac:dyDescent="0.25">
      <c r="B59" s="12">
        <v>39417</v>
      </c>
      <c r="C59" s="69">
        <f t="shared" si="0"/>
        <v>0</v>
      </c>
      <c r="D59" s="75">
        <v>0</v>
      </c>
      <c r="E59" s="75"/>
      <c r="G59" s="6"/>
      <c r="I59" s="6"/>
      <c r="J59" s="10"/>
    </row>
    <row r="60" spans="2:10" x14ac:dyDescent="0.25">
      <c r="B60" s="12">
        <v>39387</v>
      </c>
      <c r="C60" s="69">
        <f t="shared" si="0"/>
        <v>0</v>
      </c>
      <c r="D60" s="75">
        <v>0</v>
      </c>
      <c r="E60" s="75"/>
      <c r="G60" s="6"/>
      <c r="I60" s="6"/>
      <c r="J60" s="10"/>
    </row>
    <row r="61" spans="2:10" x14ac:dyDescent="0.25">
      <c r="B61" s="12">
        <v>39356</v>
      </c>
      <c r="C61" s="69">
        <f t="shared" si="0"/>
        <v>1.7489795918367348</v>
      </c>
      <c r="D61" s="75">
        <v>49</v>
      </c>
      <c r="E61" s="75">
        <v>85.7</v>
      </c>
      <c r="G61" s="6"/>
      <c r="I61" s="6"/>
      <c r="J61" s="10"/>
    </row>
    <row r="62" spans="2:10" x14ac:dyDescent="0.25">
      <c r="B62" s="12">
        <v>39326</v>
      </c>
      <c r="C62" s="69">
        <f t="shared" si="0"/>
        <v>0</v>
      </c>
      <c r="D62" s="75">
        <v>0</v>
      </c>
      <c r="E62" s="75"/>
      <c r="G62" s="6"/>
      <c r="I62" s="6"/>
      <c r="J62" s="10"/>
    </row>
    <row r="63" spans="2:10" x14ac:dyDescent="0.25">
      <c r="B63" s="12">
        <v>39295</v>
      </c>
      <c r="C63" s="69">
        <f t="shared" si="0"/>
        <v>1.7490024330900242</v>
      </c>
      <c r="D63" s="75">
        <f>158+253</f>
        <v>411</v>
      </c>
      <c r="E63" s="75">
        <f>276.34+442.5</f>
        <v>718.83999999999992</v>
      </c>
      <c r="G63" s="6"/>
      <c r="I63" s="6"/>
      <c r="J63" s="10"/>
    </row>
    <row r="64" spans="2:10" x14ac:dyDescent="0.25">
      <c r="B64" s="12">
        <v>39264</v>
      </c>
      <c r="C64" s="69">
        <f t="shared" si="0"/>
        <v>1.6286403508771932</v>
      </c>
      <c r="D64" s="75">
        <f>93+135</f>
        <v>228</v>
      </c>
      <c r="E64" s="75">
        <f>148.71+222.62</f>
        <v>371.33000000000004</v>
      </c>
      <c r="G64" s="6"/>
      <c r="I64" s="6"/>
      <c r="J64" s="10"/>
    </row>
    <row r="65" spans="2:10" x14ac:dyDescent="0.25">
      <c r="B65" s="12">
        <v>39234</v>
      </c>
      <c r="C65" s="69">
        <f t="shared" si="0"/>
        <v>0</v>
      </c>
      <c r="D65" s="75">
        <v>0</v>
      </c>
      <c r="E65" s="75"/>
      <c r="G65" s="6"/>
      <c r="I65" s="6"/>
      <c r="J65" s="10"/>
    </row>
    <row r="66" spans="2:10" x14ac:dyDescent="0.25">
      <c r="B66" s="12">
        <v>39203</v>
      </c>
      <c r="C66" s="69">
        <f t="shared" si="0"/>
        <v>1.6490217391304349</v>
      </c>
      <c r="D66" s="75">
        <f>92</f>
        <v>92</v>
      </c>
      <c r="E66" s="75">
        <v>151.71</v>
      </c>
      <c r="G66" s="6"/>
      <c r="I66" s="6"/>
      <c r="J66" s="10"/>
    </row>
    <row r="67" spans="2:10" x14ac:dyDescent="0.25">
      <c r="B67" s="12">
        <v>39173</v>
      </c>
      <c r="C67" s="69">
        <f t="shared" si="0"/>
        <v>1.6489944134078214</v>
      </c>
      <c r="D67" s="75">
        <v>179</v>
      </c>
      <c r="E67" s="75">
        <v>295.17</v>
      </c>
      <c r="G67" s="6"/>
      <c r="I67" s="6"/>
      <c r="J67" s="10"/>
    </row>
    <row r="68" spans="2:10" x14ac:dyDescent="0.25">
      <c r="B68" s="12">
        <v>39142</v>
      </c>
      <c r="C68" s="69">
        <f t="shared" si="0"/>
        <v>1.6489855072463768</v>
      </c>
      <c r="D68" s="75">
        <v>138</v>
      </c>
      <c r="E68" s="75">
        <v>227.56</v>
      </c>
      <c r="G68" s="6"/>
      <c r="I68" s="6"/>
      <c r="J68" s="10"/>
    </row>
    <row r="69" spans="2:10" x14ac:dyDescent="0.25">
      <c r="B69" s="12">
        <v>39114</v>
      </c>
      <c r="C69" s="69">
        <f t="shared" ref="C69:C70" si="1">IF(E69&gt;0,E69/D69,0)</f>
        <v>1.6489890710382513</v>
      </c>
      <c r="D69" s="75">
        <v>366</v>
      </c>
      <c r="E69" s="75">
        <v>603.53</v>
      </c>
      <c r="G69" s="6"/>
      <c r="I69" s="6"/>
      <c r="J69" s="10"/>
    </row>
    <row r="70" spans="2:10" x14ac:dyDescent="0.25">
      <c r="B70" s="12">
        <v>39083</v>
      </c>
      <c r="C70" s="69">
        <f t="shared" si="1"/>
        <v>0</v>
      </c>
      <c r="D70" s="75">
        <v>0</v>
      </c>
      <c r="E70" s="75"/>
      <c r="G70" s="6"/>
      <c r="I70" s="6"/>
      <c r="J70" s="10"/>
    </row>
    <row r="72" spans="2:10" x14ac:dyDescent="0.25">
      <c r="B72" s="10" t="s">
        <v>6</v>
      </c>
      <c r="D72" s="28">
        <f>SUM(D4:D70)</f>
        <v>9652</v>
      </c>
      <c r="E72" s="3">
        <f>SUM(E4:E70)</f>
        <v>19724.030000000002</v>
      </c>
    </row>
  </sheetData>
  <hyperlinks>
    <hyperlink ref="A1" location="a34098405" display="a34098405"/>
  </hyperlinks>
  <pageMargins left="0.7" right="0.7" top="0.75" bottom="0.75" header="0.3" footer="0.3"/>
  <pageSetup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workbookViewId="0">
      <pane xSplit="1" ySplit="3" topLeftCell="B4" activePane="bottomRight" state="frozen"/>
      <selection activeCell="D1" sqref="D1"/>
      <selection pane="topRight" activeCell="D1" sqref="D1"/>
      <selection pane="bottomLeft" activeCell="D1" sqref="D1"/>
      <selection pane="bottomRight" activeCell="B4" sqref="B4"/>
    </sheetView>
  </sheetViews>
  <sheetFormatPr defaultRowHeight="15" x14ac:dyDescent="0.25"/>
  <cols>
    <col min="1" max="1" width="10" bestFit="1" customWidth="1"/>
    <col min="2" max="2" width="11" bestFit="1" customWidth="1"/>
    <col min="3" max="3" width="9.140625" style="67" customWidth="1"/>
    <col min="4" max="4" width="9.85546875" style="54" customWidth="1"/>
    <col min="5" max="5" width="10.5703125" style="58" bestFit="1" customWidth="1"/>
    <col min="7" max="7" width="25" bestFit="1" customWidth="1"/>
    <col min="8" max="8" width="12.5703125" bestFit="1" customWidth="1"/>
    <col min="9" max="9" width="19.7109375" bestFit="1" customWidth="1"/>
    <col min="10" max="10" width="19.7109375" customWidth="1"/>
    <col min="11" max="11" width="19.7109375" bestFit="1" customWidth="1"/>
    <col min="12" max="12" width="10.7109375" bestFit="1" customWidth="1"/>
  </cols>
  <sheetData>
    <row r="1" spans="1:10" x14ac:dyDescent="0.25">
      <c r="A1" s="5">
        <f>Summary!B14</f>
        <v>30500</v>
      </c>
      <c r="B1" s="1" t="str">
        <f>Summary!C14</f>
        <v>SC Parking - Tank # 899624</v>
      </c>
    </row>
    <row r="3" spans="1:10" ht="38.25" x14ac:dyDescent="0.25">
      <c r="B3" s="11" t="s">
        <v>4</v>
      </c>
      <c r="C3" s="68" t="s">
        <v>14</v>
      </c>
      <c r="D3" s="55" t="s">
        <v>15</v>
      </c>
      <c r="E3" s="59" t="s">
        <v>13</v>
      </c>
      <c r="H3" s="4"/>
      <c r="I3" s="4"/>
      <c r="J3" s="4"/>
    </row>
    <row r="4" spans="1:10" x14ac:dyDescent="0.25">
      <c r="B4" s="12">
        <v>41091</v>
      </c>
      <c r="C4" s="69">
        <f>IF(E4&gt;0,E4/D4,0)</f>
        <v>2.2989867498051439</v>
      </c>
      <c r="D4" s="56">
        <v>128.30000000000001</v>
      </c>
      <c r="E4" s="60">
        <v>294.95999999999998</v>
      </c>
      <c r="H4" s="4"/>
      <c r="I4" s="4"/>
      <c r="J4" s="4"/>
    </row>
    <row r="5" spans="1:10" x14ac:dyDescent="0.25">
      <c r="B5" s="12">
        <v>41061</v>
      </c>
      <c r="C5" s="69">
        <f t="shared" ref="C5:C68" si="0">IF(E5&gt;0,E5/D5,0)</f>
        <v>0</v>
      </c>
      <c r="D5" s="56">
        <v>0</v>
      </c>
      <c r="E5" s="60"/>
      <c r="H5" s="4"/>
      <c r="I5" s="4"/>
      <c r="J5" s="4"/>
    </row>
    <row r="6" spans="1:10" x14ac:dyDescent="0.25">
      <c r="B6" s="12">
        <v>41030</v>
      </c>
      <c r="C6" s="69">
        <f t="shared" si="0"/>
        <v>2.2990010334137096</v>
      </c>
      <c r="D6" s="56">
        <v>290.3</v>
      </c>
      <c r="E6" s="60">
        <v>667.4</v>
      </c>
      <c r="H6" s="4"/>
      <c r="I6" s="4"/>
      <c r="J6" s="4"/>
    </row>
    <row r="7" spans="1:10" x14ac:dyDescent="0.25">
      <c r="B7" s="12">
        <v>41000</v>
      </c>
      <c r="C7" s="69">
        <f t="shared" si="0"/>
        <v>0</v>
      </c>
      <c r="D7" s="56">
        <v>0</v>
      </c>
      <c r="E7" s="60"/>
      <c r="H7" s="4"/>
      <c r="I7" s="4"/>
      <c r="J7" s="4"/>
    </row>
    <row r="8" spans="1:10" x14ac:dyDescent="0.25">
      <c r="B8" s="12">
        <v>40969</v>
      </c>
      <c r="C8" s="69">
        <f t="shared" si="0"/>
        <v>2.2990053050397874</v>
      </c>
      <c r="D8" s="57">
        <v>301.60000000000002</v>
      </c>
      <c r="E8" s="61">
        <v>693.38</v>
      </c>
      <c r="F8" s="3"/>
    </row>
    <row r="9" spans="1:10" x14ac:dyDescent="0.25">
      <c r="B9" s="12">
        <v>40940</v>
      </c>
      <c r="C9" s="69">
        <f t="shared" si="0"/>
        <v>2.2990129870129872</v>
      </c>
      <c r="D9" s="57">
        <v>385</v>
      </c>
      <c r="E9" s="61">
        <v>885.12</v>
      </c>
    </row>
    <row r="10" spans="1:10" x14ac:dyDescent="0.25">
      <c r="B10" s="12">
        <v>40909</v>
      </c>
      <c r="C10" s="69">
        <f t="shared" si="0"/>
        <v>2.2989293024720516</v>
      </c>
      <c r="D10" s="57">
        <v>635.1</v>
      </c>
      <c r="E10" s="61">
        <v>1460.05</v>
      </c>
    </row>
    <row r="11" spans="1:10" x14ac:dyDescent="0.25">
      <c r="B11" s="12">
        <v>40878</v>
      </c>
      <c r="C11" s="69">
        <f t="shared" si="0"/>
        <v>0</v>
      </c>
      <c r="D11" s="57">
        <v>0</v>
      </c>
      <c r="E11" s="61"/>
    </row>
    <row r="12" spans="1:10" x14ac:dyDescent="0.25">
      <c r="B12" s="12">
        <v>40848</v>
      </c>
      <c r="C12" s="69">
        <f t="shared" si="0"/>
        <v>2.298983580922596</v>
      </c>
      <c r="D12" s="57">
        <v>255.8</v>
      </c>
      <c r="E12" s="61">
        <v>588.08000000000004</v>
      </c>
      <c r="J12" s="10"/>
    </row>
    <row r="13" spans="1:10" x14ac:dyDescent="0.25">
      <c r="B13" s="12">
        <v>40817</v>
      </c>
      <c r="C13" s="69">
        <f t="shared" si="0"/>
        <v>0</v>
      </c>
      <c r="D13" s="57">
        <v>0</v>
      </c>
      <c r="E13" s="61"/>
      <c r="J13" s="10"/>
    </row>
    <row r="14" spans="1:10" x14ac:dyDescent="0.25">
      <c r="B14" s="12">
        <v>40787</v>
      </c>
      <c r="C14" s="69">
        <f t="shared" si="0"/>
        <v>0</v>
      </c>
      <c r="D14" s="57">
        <v>0</v>
      </c>
      <c r="E14" s="61"/>
      <c r="J14" s="10"/>
    </row>
    <row r="15" spans="1:10" x14ac:dyDescent="0.25">
      <c r="B15" s="12">
        <v>40756</v>
      </c>
      <c r="C15" s="69">
        <f t="shared" si="0"/>
        <v>1.9989953955629971</v>
      </c>
      <c r="D15" s="57">
        <v>238.9</v>
      </c>
      <c r="E15" s="61">
        <v>477.56</v>
      </c>
      <c r="J15" s="10"/>
    </row>
    <row r="16" spans="1:10" x14ac:dyDescent="0.25">
      <c r="B16" s="12">
        <v>40725</v>
      </c>
      <c r="C16" s="69">
        <f t="shared" si="0"/>
        <v>0</v>
      </c>
      <c r="D16" s="57">
        <v>0</v>
      </c>
      <c r="E16" s="61"/>
      <c r="J16" s="10"/>
    </row>
    <row r="17" spans="2:13" x14ac:dyDescent="0.25">
      <c r="B17" s="12">
        <v>40695</v>
      </c>
      <c r="C17" s="69">
        <f t="shared" si="0"/>
        <v>1.9989921121822964</v>
      </c>
      <c r="D17" s="57">
        <v>228.2</v>
      </c>
      <c r="E17" s="61">
        <v>456.17</v>
      </c>
      <c r="J17" s="10"/>
    </row>
    <row r="18" spans="2:13" x14ac:dyDescent="0.25">
      <c r="B18" s="12">
        <v>40664</v>
      </c>
      <c r="C18" s="69">
        <f t="shared" si="0"/>
        <v>1.9989878542510122</v>
      </c>
      <c r="D18" s="57">
        <v>296.39999999999998</v>
      </c>
      <c r="E18" s="61">
        <v>592.5</v>
      </c>
      <c r="J18" s="10"/>
    </row>
    <row r="19" spans="2:13" x14ac:dyDescent="0.25">
      <c r="B19" s="12">
        <v>40634</v>
      </c>
      <c r="C19" s="69">
        <f t="shared" si="0"/>
        <v>0</v>
      </c>
      <c r="D19" s="57">
        <v>0</v>
      </c>
      <c r="E19" s="61"/>
      <c r="J19" s="10"/>
    </row>
    <row r="20" spans="2:13" x14ac:dyDescent="0.25">
      <c r="B20" s="12">
        <v>40603</v>
      </c>
      <c r="C20" s="69">
        <f t="shared" si="0"/>
        <v>0</v>
      </c>
      <c r="D20" s="57">
        <v>0</v>
      </c>
      <c r="E20" s="61"/>
      <c r="J20" s="10"/>
    </row>
    <row r="21" spans="2:13" x14ac:dyDescent="0.25">
      <c r="B21" s="12">
        <v>40575</v>
      </c>
      <c r="C21" s="69">
        <f t="shared" si="0"/>
        <v>1.9989928620318762</v>
      </c>
      <c r="D21" s="57">
        <f>427.5+595.2</f>
        <v>1022.7</v>
      </c>
      <c r="E21" s="61">
        <f>854.57+1189.8</f>
        <v>2044.37</v>
      </c>
      <c r="J21" s="10"/>
    </row>
    <row r="22" spans="2:13" x14ac:dyDescent="0.25">
      <c r="B22" s="12">
        <v>40544</v>
      </c>
      <c r="C22" s="69">
        <f t="shared" si="0"/>
        <v>1.9989826676714395</v>
      </c>
      <c r="D22" s="57">
        <v>265.39999999999998</v>
      </c>
      <c r="E22" s="61">
        <v>530.53</v>
      </c>
      <c r="J22" s="10"/>
      <c r="M22" s="6"/>
    </row>
    <row r="23" spans="2:13" x14ac:dyDescent="0.25">
      <c r="B23" s="12">
        <v>40513</v>
      </c>
      <c r="C23" s="69">
        <f t="shared" si="0"/>
        <v>1.9989990689013033</v>
      </c>
      <c r="D23" s="57">
        <v>429.6</v>
      </c>
      <c r="E23" s="61">
        <v>858.77</v>
      </c>
      <c r="J23" s="10"/>
      <c r="M23" s="6"/>
    </row>
    <row r="24" spans="2:13" x14ac:dyDescent="0.25">
      <c r="B24" s="12">
        <v>40483</v>
      </c>
      <c r="C24" s="69">
        <f t="shared" si="0"/>
        <v>1.9990215264187867</v>
      </c>
      <c r="D24" s="57">
        <v>102.2</v>
      </c>
      <c r="E24" s="61">
        <v>204.3</v>
      </c>
      <c r="J24" s="10"/>
      <c r="M24" s="6"/>
    </row>
    <row r="25" spans="2:13" x14ac:dyDescent="0.25">
      <c r="B25" s="12">
        <v>40452</v>
      </c>
      <c r="C25" s="69">
        <f t="shared" si="0"/>
        <v>0</v>
      </c>
      <c r="D25" s="57">
        <v>0</v>
      </c>
      <c r="E25" s="61"/>
      <c r="J25" s="10"/>
      <c r="M25" s="6"/>
    </row>
    <row r="26" spans="2:13" x14ac:dyDescent="0.25">
      <c r="B26" s="12">
        <v>40422</v>
      </c>
      <c r="C26" s="69">
        <f t="shared" si="0"/>
        <v>1.9989857369255148</v>
      </c>
      <c r="D26" s="57">
        <v>315.5</v>
      </c>
      <c r="E26" s="61">
        <v>630.67999999999995</v>
      </c>
      <c r="J26" s="10"/>
      <c r="M26" s="6"/>
    </row>
    <row r="27" spans="2:13" x14ac:dyDescent="0.25">
      <c r="B27" s="12">
        <v>40391</v>
      </c>
      <c r="C27" s="69">
        <f t="shared" si="0"/>
        <v>0</v>
      </c>
      <c r="D27" s="57">
        <v>0</v>
      </c>
      <c r="E27" s="61"/>
      <c r="J27" s="10"/>
      <c r="M27" s="6"/>
    </row>
    <row r="28" spans="2:13" x14ac:dyDescent="0.25">
      <c r="B28" s="12">
        <v>40360</v>
      </c>
      <c r="C28" s="69">
        <f t="shared" si="0"/>
        <v>0</v>
      </c>
      <c r="D28" s="57">
        <v>0</v>
      </c>
      <c r="E28" s="61"/>
      <c r="J28" s="10"/>
      <c r="M28" s="6"/>
    </row>
    <row r="29" spans="2:13" x14ac:dyDescent="0.25">
      <c r="B29" s="12">
        <v>40330</v>
      </c>
      <c r="C29" s="69">
        <f t="shared" si="0"/>
        <v>1.9989949748743718</v>
      </c>
      <c r="D29" s="57">
        <v>119.4</v>
      </c>
      <c r="E29" s="61">
        <v>238.68</v>
      </c>
      <c r="J29" s="10"/>
      <c r="M29" s="6"/>
    </row>
    <row r="30" spans="2:13" x14ac:dyDescent="0.25">
      <c r="B30" s="12">
        <v>40299</v>
      </c>
      <c r="C30" s="69">
        <f t="shared" si="0"/>
        <v>1.7990076335877863</v>
      </c>
      <c r="D30" s="57">
        <v>131</v>
      </c>
      <c r="E30" s="61">
        <v>235.67</v>
      </c>
      <c r="J30" s="10"/>
      <c r="M30" s="6"/>
    </row>
    <row r="31" spans="2:13" x14ac:dyDescent="0.25">
      <c r="B31" s="12">
        <v>40269</v>
      </c>
      <c r="C31" s="69">
        <f t="shared" si="0"/>
        <v>1.7989756722151089</v>
      </c>
      <c r="D31" s="57">
        <v>156.19999999999999</v>
      </c>
      <c r="E31" s="61">
        <v>281</v>
      </c>
      <c r="J31" s="10"/>
      <c r="M31" s="6"/>
    </row>
    <row r="32" spans="2:13" x14ac:dyDescent="0.25">
      <c r="B32" s="12">
        <v>40238</v>
      </c>
      <c r="C32" s="69">
        <f t="shared" si="0"/>
        <v>1.7990026954177896</v>
      </c>
      <c r="D32" s="57">
        <v>371</v>
      </c>
      <c r="E32" s="61">
        <v>667.43</v>
      </c>
      <c r="J32" s="10"/>
      <c r="M32" s="6"/>
    </row>
    <row r="33" spans="2:13" x14ac:dyDescent="0.25">
      <c r="B33" s="12">
        <v>40210</v>
      </c>
      <c r="C33" s="69">
        <f t="shared" si="0"/>
        <v>0</v>
      </c>
      <c r="D33" s="57">
        <v>0</v>
      </c>
      <c r="E33" s="61"/>
      <c r="J33" s="10"/>
      <c r="M33" s="6"/>
    </row>
    <row r="34" spans="2:13" x14ac:dyDescent="0.25">
      <c r="B34" s="12">
        <v>40179</v>
      </c>
      <c r="C34" s="69">
        <f t="shared" si="0"/>
        <v>1.799000999000999</v>
      </c>
      <c r="D34" s="57">
        <v>500.5</v>
      </c>
      <c r="E34" s="61">
        <v>900.4</v>
      </c>
      <c r="J34" s="10"/>
      <c r="M34" s="6"/>
    </row>
    <row r="35" spans="2:13" x14ac:dyDescent="0.25">
      <c r="B35" s="12">
        <v>40148</v>
      </c>
      <c r="C35" s="69">
        <f t="shared" si="0"/>
        <v>1.7990105330354291</v>
      </c>
      <c r="D35" s="57">
        <v>313.3</v>
      </c>
      <c r="E35" s="61">
        <v>563.63</v>
      </c>
      <c r="J35" s="10"/>
      <c r="M35" s="6"/>
    </row>
    <row r="36" spans="2:13" x14ac:dyDescent="0.25">
      <c r="B36" s="12">
        <v>40118</v>
      </c>
      <c r="C36" s="69">
        <f t="shared" si="0"/>
        <v>1.7989891135303266</v>
      </c>
      <c r="D36" s="57">
        <v>257.2</v>
      </c>
      <c r="E36" s="61">
        <v>462.7</v>
      </c>
      <c r="J36" s="10"/>
      <c r="M36" s="6"/>
    </row>
    <row r="37" spans="2:13" x14ac:dyDescent="0.25">
      <c r="B37" s="12">
        <v>40087</v>
      </c>
      <c r="C37" s="69">
        <f t="shared" si="0"/>
        <v>0</v>
      </c>
      <c r="D37" s="57">
        <v>0</v>
      </c>
      <c r="E37" s="61"/>
      <c r="J37" s="10"/>
      <c r="M37" s="6"/>
    </row>
    <row r="38" spans="2:13" x14ac:dyDescent="0.25">
      <c r="B38" s="12">
        <v>40057</v>
      </c>
      <c r="C38" s="69">
        <f t="shared" si="0"/>
        <v>1.7990023942537909</v>
      </c>
      <c r="D38" s="57">
        <v>250.6</v>
      </c>
      <c r="E38" s="61">
        <v>450.83</v>
      </c>
      <c r="J38" s="10"/>
      <c r="M38" s="6"/>
    </row>
    <row r="39" spans="2:13" x14ac:dyDescent="0.25">
      <c r="B39" s="12">
        <v>40026</v>
      </c>
      <c r="C39" s="69">
        <f t="shared" si="0"/>
        <v>0</v>
      </c>
      <c r="D39" s="57">
        <v>0</v>
      </c>
      <c r="E39" s="61"/>
      <c r="J39" s="10"/>
      <c r="M39" s="6"/>
    </row>
    <row r="40" spans="2:13" x14ac:dyDescent="0.25">
      <c r="B40" s="12">
        <v>39995</v>
      </c>
      <c r="C40" s="69">
        <f t="shared" si="0"/>
        <v>1.6989919354838707</v>
      </c>
      <c r="D40" s="57">
        <v>198.4</v>
      </c>
      <c r="E40" s="61">
        <v>337.08</v>
      </c>
      <c r="J40" s="10"/>
      <c r="M40" s="6"/>
    </row>
    <row r="41" spans="2:13" x14ac:dyDescent="0.25">
      <c r="B41" s="12">
        <v>39965</v>
      </c>
      <c r="C41" s="69">
        <f t="shared" si="0"/>
        <v>1.6990318118948826</v>
      </c>
      <c r="D41" s="57">
        <v>144.6</v>
      </c>
      <c r="E41" s="61">
        <v>245.68</v>
      </c>
      <c r="J41" s="10"/>
      <c r="M41" s="6"/>
    </row>
    <row r="42" spans="2:13" x14ac:dyDescent="0.25">
      <c r="B42" s="12">
        <v>39934</v>
      </c>
      <c r="C42" s="69">
        <f t="shared" si="0"/>
        <v>1.9990262172284645</v>
      </c>
      <c r="D42" s="57">
        <v>133.5</v>
      </c>
      <c r="E42" s="61">
        <v>266.87</v>
      </c>
      <c r="J42" s="10"/>
      <c r="M42" s="6"/>
    </row>
    <row r="43" spans="2:13" x14ac:dyDescent="0.25">
      <c r="B43" s="12">
        <v>39904</v>
      </c>
      <c r="C43" s="69">
        <f t="shared" si="0"/>
        <v>0</v>
      </c>
      <c r="D43" s="57">
        <v>0</v>
      </c>
      <c r="E43" s="61"/>
      <c r="J43" s="10"/>
      <c r="M43" s="6"/>
    </row>
    <row r="44" spans="2:13" x14ac:dyDescent="0.25">
      <c r="B44" s="12">
        <v>39873</v>
      </c>
      <c r="C44" s="69">
        <f t="shared" si="0"/>
        <v>1.9989978213507624</v>
      </c>
      <c r="D44" s="57">
        <v>459</v>
      </c>
      <c r="E44" s="61">
        <v>917.54</v>
      </c>
      <c r="J44" s="10"/>
      <c r="M44" s="6"/>
    </row>
    <row r="45" spans="2:13" x14ac:dyDescent="0.25">
      <c r="B45" s="12">
        <v>39845</v>
      </c>
      <c r="C45" s="69">
        <f t="shared" si="0"/>
        <v>2.3118311594947105</v>
      </c>
      <c r="D45" s="57">
        <f>455.6+518.1</f>
        <v>973.7</v>
      </c>
      <c r="E45" s="61">
        <f>956.3+1294.73</f>
        <v>2251.0299999999997</v>
      </c>
      <c r="J45" s="10"/>
      <c r="M45" s="6"/>
    </row>
    <row r="46" spans="2:13" x14ac:dyDescent="0.25">
      <c r="B46" s="12">
        <v>39814</v>
      </c>
      <c r="C46" s="69">
        <f t="shared" si="0"/>
        <v>2.4990056134723337</v>
      </c>
      <c r="D46" s="57">
        <v>623.5</v>
      </c>
      <c r="E46" s="61">
        <v>1558.13</v>
      </c>
      <c r="J46" s="10"/>
      <c r="M46" s="6"/>
    </row>
    <row r="47" spans="2:13" x14ac:dyDescent="0.25">
      <c r="B47" s="12">
        <v>39783</v>
      </c>
      <c r="C47" s="69">
        <f t="shared" si="0"/>
        <v>2.498991935483871</v>
      </c>
      <c r="D47" s="57">
        <v>198.4</v>
      </c>
      <c r="E47" s="61">
        <v>495.8</v>
      </c>
      <c r="J47" s="10"/>
      <c r="M47" s="6"/>
    </row>
    <row r="48" spans="2:13" x14ac:dyDescent="0.25">
      <c r="B48" s="12">
        <v>39753</v>
      </c>
      <c r="C48" s="69">
        <f t="shared" si="0"/>
        <v>2.4989795918367346</v>
      </c>
      <c r="D48" s="57">
        <v>127.4</v>
      </c>
      <c r="E48" s="61">
        <v>318.37</v>
      </c>
      <c r="J48" s="10"/>
      <c r="M48" s="6"/>
    </row>
    <row r="49" spans="2:13" x14ac:dyDescent="0.25">
      <c r="B49" s="12">
        <v>39722</v>
      </c>
      <c r="C49" s="69">
        <f t="shared" si="0"/>
        <v>0</v>
      </c>
      <c r="D49" s="57">
        <v>0</v>
      </c>
      <c r="E49" s="61"/>
      <c r="J49" s="10"/>
      <c r="M49" s="6"/>
    </row>
    <row r="50" spans="2:13" x14ac:dyDescent="0.25">
      <c r="B50" s="12">
        <v>39692</v>
      </c>
      <c r="C50" s="69">
        <f t="shared" si="0"/>
        <v>0</v>
      </c>
      <c r="D50" s="57">
        <v>0</v>
      </c>
      <c r="E50" s="61"/>
      <c r="J50" s="10"/>
      <c r="M50" s="6"/>
    </row>
    <row r="51" spans="2:13" x14ac:dyDescent="0.25">
      <c r="B51" s="12">
        <v>39661</v>
      </c>
      <c r="C51" s="69">
        <f t="shared" si="0"/>
        <v>2.4989910313901342</v>
      </c>
      <c r="D51" s="57">
        <v>178.4</v>
      </c>
      <c r="E51" s="61">
        <v>445.82</v>
      </c>
      <c r="J51" s="10"/>
      <c r="M51" s="6"/>
    </row>
    <row r="52" spans="2:13" x14ac:dyDescent="0.25">
      <c r="B52" s="12">
        <v>39630</v>
      </c>
      <c r="C52" s="69">
        <f t="shared" si="0"/>
        <v>2.4989810097267253</v>
      </c>
      <c r="D52" s="57">
        <v>215.9</v>
      </c>
      <c r="E52" s="61">
        <v>539.53</v>
      </c>
      <c r="J52" s="10"/>
      <c r="M52" s="6"/>
    </row>
    <row r="53" spans="2:13" x14ac:dyDescent="0.25">
      <c r="B53" s="12">
        <v>39600</v>
      </c>
      <c r="C53" s="69">
        <f t="shared" si="0"/>
        <v>0</v>
      </c>
      <c r="D53" s="57">
        <v>0</v>
      </c>
      <c r="E53" s="61"/>
      <c r="J53" s="10"/>
      <c r="M53" s="6"/>
    </row>
    <row r="54" spans="2:13" x14ac:dyDescent="0.25">
      <c r="B54" s="12">
        <v>39569</v>
      </c>
      <c r="C54" s="69">
        <f t="shared" si="0"/>
        <v>0</v>
      </c>
      <c r="D54" s="57">
        <v>0</v>
      </c>
      <c r="E54" s="61"/>
      <c r="J54" s="10"/>
      <c r="M54" s="6"/>
    </row>
    <row r="55" spans="2:13" x14ac:dyDescent="0.25">
      <c r="B55" s="12">
        <v>39539</v>
      </c>
      <c r="C55" s="69">
        <f t="shared" si="0"/>
        <v>0</v>
      </c>
      <c r="D55" s="57">
        <v>0</v>
      </c>
      <c r="E55" s="61"/>
      <c r="J55" s="10"/>
      <c r="M55" s="6"/>
    </row>
    <row r="56" spans="2:13" x14ac:dyDescent="0.25">
      <c r="B56" s="12">
        <v>39508</v>
      </c>
      <c r="C56" s="69">
        <f t="shared" si="0"/>
        <v>0</v>
      </c>
      <c r="D56" s="57">
        <v>0</v>
      </c>
      <c r="E56" s="61"/>
      <c r="J56" s="10"/>
      <c r="M56" s="6"/>
    </row>
    <row r="57" spans="2:13" x14ac:dyDescent="0.25">
      <c r="B57" s="12">
        <v>39479</v>
      </c>
      <c r="C57" s="69">
        <f t="shared" si="0"/>
        <v>0</v>
      </c>
      <c r="D57" s="57">
        <v>0</v>
      </c>
      <c r="E57" s="61"/>
      <c r="J57" s="10"/>
      <c r="M57" s="6"/>
    </row>
    <row r="58" spans="2:13" x14ac:dyDescent="0.25">
      <c r="B58" s="12">
        <v>39448</v>
      </c>
      <c r="C58" s="69">
        <f t="shared" si="0"/>
        <v>0</v>
      </c>
      <c r="D58" s="57">
        <v>0</v>
      </c>
      <c r="E58" s="61"/>
      <c r="J58" s="10"/>
      <c r="M58" s="6"/>
    </row>
    <row r="59" spans="2:13" x14ac:dyDescent="0.25">
      <c r="B59" s="12">
        <v>39417</v>
      </c>
      <c r="C59" s="69">
        <f t="shared" si="0"/>
        <v>0</v>
      </c>
      <c r="D59" s="57">
        <v>0</v>
      </c>
      <c r="E59" s="61"/>
      <c r="J59" s="10"/>
      <c r="M59" s="6"/>
    </row>
    <row r="60" spans="2:13" x14ac:dyDescent="0.25">
      <c r="B60" s="12">
        <v>39387</v>
      </c>
      <c r="C60" s="69">
        <f t="shared" si="0"/>
        <v>0</v>
      </c>
      <c r="D60" s="57">
        <v>0</v>
      </c>
      <c r="E60" s="61"/>
      <c r="J60" s="10"/>
      <c r="M60" s="6"/>
    </row>
    <row r="61" spans="2:13" x14ac:dyDescent="0.25">
      <c r="B61" s="12">
        <v>39356</v>
      </c>
      <c r="C61" s="69">
        <f t="shared" si="0"/>
        <v>0</v>
      </c>
      <c r="D61" s="57">
        <v>0</v>
      </c>
      <c r="E61" s="61"/>
      <c r="J61" s="10"/>
      <c r="M61" s="6"/>
    </row>
    <row r="62" spans="2:13" x14ac:dyDescent="0.25">
      <c r="B62" s="12">
        <v>39326</v>
      </c>
      <c r="C62" s="69">
        <f t="shared" si="0"/>
        <v>0</v>
      </c>
      <c r="D62" s="57">
        <v>0</v>
      </c>
      <c r="E62" s="61"/>
      <c r="J62" s="10"/>
      <c r="M62" s="6"/>
    </row>
    <row r="63" spans="2:13" x14ac:dyDescent="0.25">
      <c r="B63" s="12">
        <v>39295</v>
      </c>
      <c r="C63" s="69">
        <f t="shared" si="0"/>
        <v>0</v>
      </c>
      <c r="D63" s="57">
        <v>0</v>
      </c>
      <c r="E63" s="61"/>
      <c r="F63" s="29"/>
      <c r="J63" s="10"/>
      <c r="M63" s="6"/>
    </row>
    <row r="64" spans="2:13" x14ac:dyDescent="0.25">
      <c r="B64" s="12">
        <v>39264</v>
      </c>
      <c r="C64" s="69">
        <f t="shared" si="0"/>
        <v>0</v>
      </c>
      <c r="D64" s="57">
        <v>0</v>
      </c>
      <c r="E64" s="61"/>
      <c r="F64" s="29"/>
      <c r="J64" s="10"/>
      <c r="M64" s="6"/>
    </row>
    <row r="65" spans="2:13" x14ac:dyDescent="0.25">
      <c r="B65" s="12">
        <v>39234</v>
      </c>
      <c r="C65" s="69">
        <f t="shared" si="0"/>
        <v>0</v>
      </c>
      <c r="D65" s="57">
        <v>0</v>
      </c>
      <c r="E65" s="61"/>
      <c r="F65" s="29"/>
      <c r="J65" s="10"/>
      <c r="M65" s="6"/>
    </row>
    <row r="66" spans="2:13" x14ac:dyDescent="0.25">
      <c r="B66" s="12">
        <v>39203</v>
      </c>
      <c r="C66" s="69">
        <f t="shared" si="0"/>
        <v>0</v>
      </c>
      <c r="D66" s="57">
        <v>0</v>
      </c>
      <c r="E66" s="61"/>
      <c r="F66" s="29"/>
      <c r="J66" s="10"/>
      <c r="M66" s="6"/>
    </row>
    <row r="67" spans="2:13" x14ac:dyDescent="0.25">
      <c r="B67" s="12">
        <v>39173</v>
      </c>
      <c r="C67" s="69">
        <f t="shared" si="0"/>
        <v>0</v>
      </c>
      <c r="D67" s="57">
        <v>0</v>
      </c>
      <c r="E67" s="61"/>
      <c r="F67" s="29"/>
      <c r="J67" s="10"/>
      <c r="M67" s="6"/>
    </row>
    <row r="68" spans="2:13" x14ac:dyDescent="0.25">
      <c r="B68" s="12">
        <v>39142</v>
      </c>
      <c r="C68" s="69">
        <f t="shared" si="0"/>
        <v>0</v>
      </c>
      <c r="D68" s="57">
        <v>0</v>
      </c>
      <c r="E68" s="61"/>
      <c r="F68" s="29"/>
      <c r="J68" s="10"/>
      <c r="M68" s="6"/>
    </row>
    <row r="69" spans="2:13" x14ac:dyDescent="0.25">
      <c r="B69" s="12">
        <v>39114</v>
      </c>
      <c r="C69" s="69">
        <f t="shared" ref="C69:C70" si="1">IF(E69&gt;0,E69/D69,0)</f>
        <v>0</v>
      </c>
      <c r="D69" s="57">
        <v>0</v>
      </c>
      <c r="E69" s="61"/>
      <c r="F69" s="29"/>
      <c r="J69" s="10"/>
      <c r="M69" s="6"/>
    </row>
    <row r="70" spans="2:13" x14ac:dyDescent="0.25">
      <c r="B70" s="12">
        <v>39083</v>
      </c>
      <c r="C70" s="69">
        <f t="shared" si="1"/>
        <v>0</v>
      </c>
      <c r="D70" s="57">
        <v>0</v>
      </c>
      <c r="E70" s="61"/>
      <c r="F70" s="29"/>
      <c r="J70" s="10"/>
      <c r="M70" s="6"/>
    </row>
    <row r="71" spans="2:13" ht="17.25" x14ac:dyDescent="0.25">
      <c r="B71" s="35"/>
      <c r="H71" s="6"/>
      <c r="I71" s="6"/>
      <c r="J71" s="6"/>
      <c r="K71" s="6"/>
      <c r="L71" s="7"/>
      <c r="M71" s="6"/>
    </row>
    <row r="72" spans="2:13" x14ac:dyDescent="0.25">
      <c r="B72" s="10" t="s">
        <v>6</v>
      </c>
      <c r="D72" s="54">
        <f>SUM(D8:D70)</f>
        <v>9828.3999999999978</v>
      </c>
      <c r="E72" s="58">
        <f>SUM(E8:E70)</f>
        <v>20597.699999999997</v>
      </c>
      <c r="H72" s="6"/>
      <c r="I72" s="6"/>
      <c r="J72" s="6"/>
      <c r="K72" s="6"/>
      <c r="L72" s="7"/>
      <c r="M72" s="6"/>
    </row>
    <row r="73" spans="2:13" ht="17.25" x14ac:dyDescent="0.3">
      <c r="B73" s="36"/>
      <c r="H73" s="6"/>
      <c r="I73" s="6"/>
      <c r="J73" s="6"/>
      <c r="K73" s="6"/>
      <c r="L73" s="7"/>
      <c r="M73" s="6"/>
    </row>
    <row r="74" spans="2:13" x14ac:dyDescent="0.25">
      <c r="B74" s="10"/>
      <c r="H74" s="6"/>
      <c r="I74" s="6"/>
      <c r="J74" s="6"/>
      <c r="K74" s="6"/>
      <c r="L74" s="7"/>
      <c r="M74" s="6"/>
    </row>
    <row r="75" spans="2:13" x14ac:dyDescent="0.25">
      <c r="B75" s="10"/>
      <c r="H75" s="6"/>
      <c r="I75" s="6"/>
      <c r="J75" s="6"/>
      <c r="K75" s="6"/>
      <c r="L75" s="7"/>
      <c r="M75" s="6"/>
    </row>
    <row r="76" spans="2:13" x14ac:dyDescent="0.25">
      <c r="B76" s="10"/>
      <c r="H76" s="6"/>
      <c r="I76" s="6"/>
      <c r="J76" s="6"/>
      <c r="K76" s="6"/>
      <c r="L76" s="7"/>
      <c r="M76" s="6"/>
    </row>
    <row r="77" spans="2:13" x14ac:dyDescent="0.25">
      <c r="B77" s="10"/>
      <c r="H77" s="6"/>
      <c r="I77" s="6"/>
      <c r="J77" s="6"/>
      <c r="K77" s="6"/>
      <c r="L77" s="7"/>
      <c r="M77" s="6"/>
    </row>
    <row r="78" spans="2:13" x14ac:dyDescent="0.25">
      <c r="B78" s="10"/>
      <c r="H78" s="6"/>
      <c r="I78" s="6"/>
      <c r="J78" s="6"/>
      <c r="K78" s="6"/>
      <c r="L78" s="7"/>
      <c r="M78" s="6"/>
    </row>
    <row r="79" spans="2:13" x14ac:dyDescent="0.25">
      <c r="B79" s="10"/>
      <c r="H79" s="6"/>
      <c r="I79" s="6"/>
      <c r="J79" s="6"/>
      <c r="K79" s="6"/>
      <c r="L79" s="7"/>
      <c r="M79" s="6"/>
    </row>
    <row r="80" spans="2:13" x14ac:dyDescent="0.25">
      <c r="B80" s="10"/>
      <c r="H80" s="6"/>
      <c r="I80" s="6"/>
      <c r="J80" s="6"/>
      <c r="K80" s="6"/>
      <c r="L80" s="7"/>
      <c r="M80" s="6"/>
    </row>
    <row r="81" spans="2:13" x14ac:dyDescent="0.25">
      <c r="B81" s="10"/>
      <c r="H81" s="6"/>
      <c r="I81" s="6"/>
      <c r="J81" s="6"/>
      <c r="K81" s="6"/>
      <c r="L81" s="7"/>
      <c r="M81" s="6"/>
    </row>
  </sheetData>
  <hyperlinks>
    <hyperlink ref="A1" location="b632400435" display="b632400435"/>
  </hyperlinks>
  <pageMargins left="0.7" right="0.7" top="0.75" bottom="0.75" header="0.3" footer="0.3"/>
  <pageSetup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5" max="5" width="11.5703125" bestFit="1" customWidth="1"/>
    <col min="7" max="7" width="13.85546875" customWidth="1"/>
    <col min="8" max="8" width="11.140625" customWidth="1"/>
    <col min="9" max="9" width="12.42578125" customWidth="1"/>
    <col min="10" max="10" width="19.28515625" customWidth="1"/>
  </cols>
  <sheetData>
    <row r="1" spans="1:5" x14ac:dyDescent="0.25">
      <c r="A1" s="5">
        <f>Summary!B15</f>
        <v>30505</v>
      </c>
      <c r="B1" s="2" t="str">
        <f>Summary!C15</f>
        <v>07298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0</v>
      </c>
      <c r="D4" s="57">
        <v>0</v>
      </c>
      <c r="E4" s="75"/>
    </row>
    <row r="5" spans="1:5" x14ac:dyDescent="0.25">
      <c r="B5" s="12">
        <v>41061</v>
      </c>
      <c r="C5" s="69">
        <f t="shared" ref="C5:C68" si="0">IF(E5&gt;0,E5/D5,0)</f>
        <v>0</v>
      </c>
      <c r="D5" s="57">
        <v>0</v>
      </c>
      <c r="E5" s="75"/>
    </row>
    <row r="6" spans="1:5" x14ac:dyDescent="0.25">
      <c r="B6" s="12">
        <v>41030</v>
      </c>
      <c r="C6" s="69">
        <f t="shared" si="0"/>
        <v>0</v>
      </c>
      <c r="D6" s="57">
        <v>0</v>
      </c>
      <c r="E6" s="75"/>
    </row>
    <row r="7" spans="1:5" x14ac:dyDescent="0.25">
      <c r="B7" s="12">
        <v>41000</v>
      </c>
      <c r="C7" s="69">
        <f t="shared" si="0"/>
        <v>0</v>
      </c>
      <c r="D7" s="57">
        <v>0</v>
      </c>
      <c r="E7" s="75"/>
    </row>
    <row r="8" spans="1:5" x14ac:dyDescent="0.25">
      <c r="B8" s="12">
        <v>40969</v>
      </c>
      <c r="C8" s="69">
        <f t="shared" si="0"/>
        <v>0</v>
      </c>
      <c r="D8" s="57">
        <v>0</v>
      </c>
      <c r="E8" s="75"/>
    </row>
    <row r="9" spans="1:5" x14ac:dyDescent="0.25">
      <c r="B9" s="12">
        <v>40940</v>
      </c>
      <c r="C9" s="69">
        <f t="shared" si="0"/>
        <v>2.2989902989507027</v>
      </c>
      <c r="D9" s="74">
        <v>505.1</v>
      </c>
      <c r="E9" s="75">
        <v>1161.22</v>
      </c>
    </row>
    <row r="10" spans="1:5" x14ac:dyDescent="0.25">
      <c r="B10" s="12">
        <v>40909</v>
      </c>
      <c r="C10" s="69">
        <f t="shared" si="0"/>
        <v>2.2990283400809717</v>
      </c>
      <c r="D10" s="74">
        <v>123.5</v>
      </c>
      <c r="E10" s="75">
        <v>283.93</v>
      </c>
    </row>
    <row r="11" spans="1:5" x14ac:dyDescent="0.25">
      <c r="B11" s="12">
        <v>40878</v>
      </c>
      <c r="C11" s="69">
        <f t="shared" si="0"/>
        <v>0</v>
      </c>
      <c r="D11" s="74">
        <v>0</v>
      </c>
      <c r="E11" s="75"/>
    </row>
    <row r="12" spans="1:5" x14ac:dyDescent="0.25">
      <c r="B12" s="12">
        <v>40848</v>
      </c>
      <c r="C12" s="69">
        <f t="shared" si="0"/>
        <v>0</v>
      </c>
      <c r="D12" s="74">
        <v>0</v>
      </c>
      <c r="E12" s="75"/>
    </row>
    <row r="13" spans="1:5" x14ac:dyDescent="0.25">
      <c r="B13" s="12">
        <v>40817</v>
      </c>
      <c r="C13" s="69">
        <f t="shared" si="0"/>
        <v>0</v>
      </c>
      <c r="D13" s="74">
        <v>0</v>
      </c>
      <c r="E13" s="75"/>
    </row>
    <row r="14" spans="1:5" x14ac:dyDescent="0.25">
      <c r="B14" s="12">
        <v>40787</v>
      </c>
      <c r="C14" s="69">
        <f t="shared" si="0"/>
        <v>0</v>
      </c>
      <c r="D14" s="74">
        <v>0</v>
      </c>
      <c r="E14" s="75"/>
    </row>
    <row r="15" spans="1:5" x14ac:dyDescent="0.25">
      <c r="B15" s="12">
        <v>40756</v>
      </c>
      <c r="C15" s="69">
        <f t="shared" si="0"/>
        <v>0</v>
      </c>
      <c r="D15" s="74">
        <v>0</v>
      </c>
      <c r="E15" s="75"/>
    </row>
    <row r="16" spans="1:5" x14ac:dyDescent="0.25">
      <c r="B16" s="12">
        <v>40725</v>
      </c>
      <c r="C16" s="69">
        <f t="shared" si="0"/>
        <v>0</v>
      </c>
      <c r="D16" s="74">
        <v>0</v>
      </c>
      <c r="E16" s="75"/>
    </row>
    <row r="17" spans="2:11" x14ac:dyDescent="0.25">
      <c r="B17" s="12">
        <v>40695</v>
      </c>
      <c r="C17" s="69">
        <f t="shared" si="0"/>
        <v>0</v>
      </c>
      <c r="D17" s="74">
        <v>0</v>
      </c>
      <c r="E17" s="75"/>
    </row>
    <row r="18" spans="2:11" x14ac:dyDescent="0.25">
      <c r="B18" s="12">
        <v>40664</v>
      </c>
      <c r="C18" s="69">
        <f t="shared" si="0"/>
        <v>1.9990002856326763</v>
      </c>
      <c r="D18" s="74">
        <v>350.1</v>
      </c>
      <c r="E18" s="75">
        <v>699.85</v>
      </c>
    </row>
    <row r="19" spans="2:11" x14ac:dyDescent="0.25">
      <c r="B19" s="12">
        <v>40634</v>
      </c>
      <c r="C19" s="69">
        <f t="shared" si="0"/>
        <v>1.9990344827586208</v>
      </c>
      <c r="D19" s="74">
        <v>145</v>
      </c>
      <c r="E19" s="75">
        <v>289.86</v>
      </c>
    </row>
    <row r="20" spans="2:11" x14ac:dyDescent="0.25">
      <c r="B20" s="12">
        <v>40603</v>
      </c>
      <c r="C20" s="69">
        <f t="shared" si="0"/>
        <v>0</v>
      </c>
      <c r="D20" s="74">
        <v>0</v>
      </c>
      <c r="E20" s="75"/>
      <c r="G20" s="6"/>
      <c r="I20" s="6"/>
      <c r="J20" s="7"/>
      <c r="K20" s="6"/>
    </row>
    <row r="21" spans="2:11" x14ac:dyDescent="0.25">
      <c r="B21" s="12">
        <v>40575</v>
      </c>
      <c r="C21" s="69">
        <f t="shared" si="0"/>
        <v>1.9990048295038785</v>
      </c>
      <c r="D21" s="75">
        <v>683.3</v>
      </c>
      <c r="E21" s="75">
        <v>1365.92</v>
      </c>
      <c r="G21" s="6"/>
      <c r="I21" s="6"/>
      <c r="J21" s="7"/>
      <c r="K21" s="6"/>
    </row>
    <row r="22" spans="2:11" x14ac:dyDescent="0.25">
      <c r="B22" s="12">
        <v>40544</v>
      </c>
      <c r="C22" s="69">
        <f t="shared" si="0"/>
        <v>0</v>
      </c>
      <c r="D22" s="75">
        <v>0</v>
      </c>
      <c r="E22" s="75"/>
      <c r="G22" s="6"/>
      <c r="I22" s="6"/>
      <c r="J22" s="7"/>
      <c r="K22" s="6"/>
    </row>
    <row r="23" spans="2:11" x14ac:dyDescent="0.25">
      <c r="B23" s="12">
        <v>40513</v>
      </c>
      <c r="C23" s="69">
        <f t="shared" si="0"/>
        <v>0</v>
      </c>
      <c r="D23" s="75">
        <v>0</v>
      </c>
      <c r="E23" s="75"/>
      <c r="G23" s="6"/>
      <c r="I23" s="6"/>
      <c r="J23" s="7"/>
      <c r="K23" s="6"/>
    </row>
    <row r="24" spans="2:11" x14ac:dyDescent="0.25">
      <c r="B24" s="12">
        <v>40483</v>
      </c>
      <c r="C24" s="69">
        <f t="shared" si="0"/>
        <v>0</v>
      </c>
      <c r="D24" s="75">
        <v>0</v>
      </c>
      <c r="E24" s="75"/>
      <c r="G24" s="6"/>
      <c r="I24" s="6"/>
      <c r="J24" s="7"/>
      <c r="K24" s="6"/>
    </row>
    <row r="25" spans="2:11" x14ac:dyDescent="0.25">
      <c r="B25" s="12">
        <v>40452</v>
      </c>
      <c r="C25" s="69">
        <f t="shared" si="0"/>
        <v>0</v>
      </c>
      <c r="D25" s="75">
        <v>0</v>
      </c>
      <c r="E25" s="75"/>
      <c r="G25" s="6"/>
      <c r="I25" s="6"/>
      <c r="J25" s="7"/>
      <c r="K25" s="6"/>
    </row>
    <row r="26" spans="2:11" x14ac:dyDescent="0.25">
      <c r="B26" s="12">
        <v>40422</v>
      </c>
      <c r="C26" s="69">
        <f t="shared" si="0"/>
        <v>0</v>
      </c>
      <c r="D26" s="75">
        <v>0</v>
      </c>
      <c r="E26" s="75"/>
      <c r="G26" s="6"/>
      <c r="I26" s="6"/>
      <c r="J26" s="7"/>
      <c r="K26" s="6"/>
    </row>
    <row r="27" spans="2:11" x14ac:dyDescent="0.25">
      <c r="B27" s="12">
        <v>40391</v>
      </c>
      <c r="C27" s="69">
        <f t="shared" si="0"/>
        <v>0</v>
      </c>
      <c r="D27" s="75">
        <v>0</v>
      </c>
      <c r="E27" s="75"/>
      <c r="G27" s="6"/>
      <c r="I27" s="6"/>
      <c r="J27" s="7"/>
      <c r="K27" s="6"/>
    </row>
    <row r="28" spans="2:11" x14ac:dyDescent="0.25">
      <c r="B28" s="12">
        <v>40360</v>
      </c>
      <c r="C28" s="69">
        <f t="shared" si="0"/>
        <v>0</v>
      </c>
      <c r="D28" s="75">
        <v>0</v>
      </c>
      <c r="E28" s="75"/>
      <c r="G28" s="6"/>
      <c r="I28" s="6"/>
      <c r="J28" s="7"/>
      <c r="K28" s="6"/>
    </row>
    <row r="29" spans="2:11" x14ac:dyDescent="0.25">
      <c r="B29" s="12">
        <v>40330</v>
      </c>
      <c r="C29" s="69">
        <f t="shared" si="0"/>
        <v>0</v>
      </c>
      <c r="D29" s="75">
        <v>0</v>
      </c>
      <c r="E29" s="75"/>
      <c r="G29" s="6"/>
      <c r="I29" s="6"/>
      <c r="J29" s="7"/>
      <c r="K29" s="6"/>
    </row>
    <row r="30" spans="2:11" x14ac:dyDescent="0.25">
      <c r="B30" s="12">
        <v>40299</v>
      </c>
      <c r="C30" s="69">
        <f t="shared" si="0"/>
        <v>0</v>
      </c>
      <c r="D30" s="75">
        <v>0</v>
      </c>
      <c r="E30" s="75"/>
      <c r="G30" s="6"/>
      <c r="I30" s="6"/>
      <c r="J30" s="7"/>
      <c r="K30" s="6"/>
    </row>
    <row r="31" spans="2:11" x14ac:dyDescent="0.25">
      <c r="B31" s="12">
        <v>40269</v>
      </c>
      <c r="C31" s="69">
        <f t="shared" si="0"/>
        <v>0</v>
      </c>
      <c r="D31" s="75">
        <v>0</v>
      </c>
      <c r="E31" s="75"/>
      <c r="G31" s="6"/>
      <c r="I31" s="6"/>
      <c r="J31" s="7"/>
      <c r="K31" s="6"/>
    </row>
    <row r="32" spans="2:11" x14ac:dyDescent="0.25">
      <c r="B32" s="12">
        <v>40238</v>
      </c>
      <c r="C32" s="69">
        <f t="shared" si="0"/>
        <v>1.7990022172949001</v>
      </c>
      <c r="D32" s="75">
        <v>270.60000000000002</v>
      </c>
      <c r="E32" s="75">
        <v>486.81</v>
      </c>
      <c r="G32" s="6"/>
      <c r="I32" s="6"/>
      <c r="J32" s="7"/>
      <c r="K32" s="6"/>
    </row>
    <row r="33" spans="2:11" x14ac:dyDescent="0.25">
      <c r="B33" s="12">
        <v>40210</v>
      </c>
      <c r="C33" s="69">
        <f t="shared" si="0"/>
        <v>0</v>
      </c>
      <c r="D33" s="75">
        <v>0</v>
      </c>
      <c r="E33" s="75"/>
      <c r="G33" s="6"/>
      <c r="I33" s="6"/>
      <c r="J33" s="7"/>
      <c r="K33" s="6"/>
    </row>
    <row r="34" spans="2:11" x14ac:dyDescent="0.25">
      <c r="B34" s="12">
        <v>40179</v>
      </c>
      <c r="C34" s="69">
        <f t="shared" si="0"/>
        <v>1.7989909443725742</v>
      </c>
      <c r="D34" s="75">
        <v>386.5</v>
      </c>
      <c r="E34" s="75">
        <v>695.31</v>
      </c>
      <c r="G34" s="6"/>
      <c r="I34" s="6"/>
      <c r="J34" s="7"/>
      <c r="K34" s="6"/>
    </row>
    <row r="35" spans="2:11" x14ac:dyDescent="0.25">
      <c r="B35" s="12">
        <v>40148</v>
      </c>
      <c r="C35" s="69">
        <f t="shared" si="0"/>
        <v>0</v>
      </c>
      <c r="D35" s="75">
        <v>0</v>
      </c>
      <c r="E35" s="75"/>
      <c r="G35" s="6"/>
      <c r="I35" s="6"/>
      <c r="J35" s="7"/>
      <c r="K35" s="6"/>
    </row>
    <row r="36" spans="2:11" x14ac:dyDescent="0.25">
      <c r="B36" s="12">
        <v>40118</v>
      </c>
      <c r="C36" s="69">
        <f t="shared" si="0"/>
        <v>1.7989940828402364</v>
      </c>
      <c r="D36" s="75">
        <v>169</v>
      </c>
      <c r="E36" s="75">
        <v>304.02999999999997</v>
      </c>
      <c r="G36" s="6"/>
      <c r="I36" s="6"/>
      <c r="J36" s="7"/>
      <c r="K36" s="6"/>
    </row>
    <row r="37" spans="2:11" x14ac:dyDescent="0.25">
      <c r="B37" s="12">
        <v>40087</v>
      </c>
      <c r="C37" s="69">
        <f t="shared" si="0"/>
        <v>0</v>
      </c>
      <c r="D37" s="75">
        <v>0</v>
      </c>
      <c r="E37" s="75"/>
      <c r="G37" s="6"/>
      <c r="I37" s="6"/>
      <c r="J37" s="7"/>
      <c r="K37" s="6"/>
    </row>
    <row r="38" spans="2:11" x14ac:dyDescent="0.25">
      <c r="B38" s="12">
        <v>40057</v>
      </c>
      <c r="C38" s="69">
        <f t="shared" si="0"/>
        <v>0</v>
      </c>
      <c r="D38" s="75">
        <v>0</v>
      </c>
      <c r="E38" s="75"/>
      <c r="G38" s="6"/>
      <c r="I38" s="6"/>
      <c r="J38" s="7"/>
      <c r="K38" s="6"/>
    </row>
    <row r="39" spans="2:11" x14ac:dyDescent="0.25">
      <c r="B39" s="12">
        <v>40026</v>
      </c>
      <c r="C39" s="69">
        <f t="shared" si="0"/>
        <v>1.6990251827782292</v>
      </c>
      <c r="D39" s="75">
        <v>123.1</v>
      </c>
      <c r="E39" s="75">
        <v>209.15</v>
      </c>
      <c r="G39" s="6"/>
      <c r="I39" s="6"/>
      <c r="J39" s="7"/>
      <c r="K39" s="6"/>
    </row>
    <row r="40" spans="2:11" x14ac:dyDescent="0.25">
      <c r="B40" s="12">
        <v>39995</v>
      </c>
      <c r="C40" s="69">
        <f t="shared" si="0"/>
        <v>0</v>
      </c>
      <c r="D40" s="75">
        <v>0</v>
      </c>
      <c r="E40" s="75"/>
      <c r="G40" s="6"/>
      <c r="I40" s="6"/>
      <c r="J40" s="7"/>
      <c r="K40" s="6"/>
    </row>
    <row r="41" spans="2:11" x14ac:dyDescent="0.25">
      <c r="B41" s="12">
        <v>39965</v>
      </c>
      <c r="C41" s="69">
        <f t="shared" si="0"/>
        <v>0</v>
      </c>
      <c r="D41" s="75">
        <v>0</v>
      </c>
      <c r="E41" s="75"/>
      <c r="G41" s="6"/>
      <c r="I41" s="6"/>
      <c r="J41" s="7"/>
      <c r="K41" s="6"/>
    </row>
    <row r="42" spans="2:11" x14ac:dyDescent="0.25">
      <c r="B42" s="12">
        <v>39934</v>
      </c>
      <c r="C42" s="69">
        <f t="shared" si="0"/>
        <v>0</v>
      </c>
      <c r="D42" s="75">
        <v>0</v>
      </c>
      <c r="E42" s="75"/>
      <c r="G42" s="6"/>
      <c r="I42" s="6"/>
      <c r="J42" s="7"/>
      <c r="K42" s="6"/>
    </row>
    <row r="43" spans="2:11" x14ac:dyDescent="0.25">
      <c r="B43" s="12">
        <v>39904</v>
      </c>
      <c r="C43" s="69">
        <f t="shared" si="0"/>
        <v>0</v>
      </c>
      <c r="D43" s="75">
        <v>0</v>
      </c>
      <c r="E43" s="75"/>
      <c r="G43" s="6"/>
      <c r="I43" s="6"/>
      <c r="J43" s="7"/>
      <c r="K43" s="6"/>
    </row>
    <row r="44" spans="2:11" x14ac:dyDescent="0.25">
      <c r="B44" s="12">
        <v>39873</v>
      </c>
      <c r="C44" s="69">
        <f t="shared" si="0"/>
        <v>1.9990308370044052</v>
      </c>
      <c r="D44" s="75">
        <v>113.5</v>
      </c>
      <c r="E44" s="75">
        <v>226.89</v>
      </c>
      <c r="G44" s="6"/>
      <c r="I44" s="6"/>
      <c r="J44" s="7"/>
      <c r="K44" s="6"/>
    </row>
    <row r="45" spans="2:11" x14ac:dyDescent="0.25">
      <c r="B45" s="12">
        <v>39845</v>
      </c>
      <c r="C45" s="69">
        <f t="shared" si="0"/>
        <v>2.2888530805687202</v>
      </c>
      <c r="D45" s="75">
        <f>277.1+250.4</f>
        <v>527.5</v>
      </c>
      <c r="E45" s="75">
        <f>581.62+625.75</f>
        <v>1207.3699999999999</v>
      </c>
      <c r="G45" s="6"/>
      <c r="I45" s="6"/>
      <c r="J45" s="7"/>
      <c r="K45" s="6"/>
    </row>
    <row r="46" spans="2:11" x14ac:dyDescent="0.25">
      <c r="B46" s="12">
        <v>39814</v>
      </c>
      <c r="C46" s="69">
        <f t="shared" si="0"/>
        <v>2.498994413407821</v>
      </c>
      <c r="D46" s="75">
        <v>358</v>
      </c>
      <c r="E46" s="75">
        <v>894.64</v>
      </c>
      <c r="G46" s="6"/>
      <c r="I46" s="6"/>
      <c r="J46" s="7"/>
      <c r="K46" s="6"/>
    </row>
    <row r="47" spans="2:11" x14ac:dyDescent="0.25">
      <c r="B47" s="12">
        <v>39783</v>
      </c>
      <c r="C47" s="69">
        <f t="shared" si="0"/>
        <v>2.498997300424219</v>
      </c>
      <c r="D47" s="75">
        <v>259.3</v>
      </c>
      <c r="E47" s="75">
        <v>647.99</v>
      </c>
      <c r="G47" s="6"/>
      <c r="I47" s="6"/>
      <c r="J47" s="7"/>
      <c r="K47" s="6"/>
    </row>
    <row r="48" spans="2:11" x14ac:dyDescent="0.25">
      <c r="B48" s="12">
        <v>39753</v>
      </c>
      <c r="C48" s="69">
        <f t="shared" si="0"/>
        <v>0</v>
      </c>
      <c r="D48" s="75">
        <v>0</v>
      </c>
      <c r="E48" s="75"/>
      <c r="G48" s="6"/>
      <c r="I48" s="6"/>
      <c r="J48" s="7"/>
      <c r="K48" s="6"/>
    </row>
    <row r="49" spans="2:11" x14ac:dyDescent="0.25">
      <c r="B49" s="12">
        <v>39722</v>
      </c>
      <c r="C49" s="69">
        <f t="shared" si="0"/>
        <v>0</v>
      </c>
      <c r="D49" s="75">
        <v>0</v>
      </c>
      <c r="E49" s="75"/>
      <c r="G49" s="6"/>
      <c r="I49" s="6"/>
      <c r="J49" s="7"/>
      <c r="K49" s="6"/>
    </row>
    <row r="50" spans="2:11" x14ac:dyDescent="0.25">
      <c r="B50" s="12">
        <v>39692</v>
      </c>
      <c r="C50" s="69">
        <f t="shared" si="0"/>
        <v>2.4989898989898989</v>
      </c>
      <c r="D50" s="75">
        <v>158.4</v>
      </c>
      <c r="E50" s="75">
        <v>395.84</v>
      </c>
      <c r="G50" s="6"/>
      <c r="I50" s="6"/>
      <c r="J50" s="7"/>
      <c r="K50" s="6"/>
    </row>
    <row r="51" spans="2:11" x14ac:dyDescent="0.25">
      <c r="B51" s="12">
        <v>39661</v>
      </c>
      <c r="C51" s="69">
        <f t="shared" si="0"/>
        <v>0</v>
      </c>
      <c r="D51" s="75">
        <v>0</v>
      </c>
      <c r="E51" s="75"/>
      <c r="G51" s="6"/>
      <c r="I51" s="6"/>
      <c r="J51" s="7"/>
      <c r="K51" s="6"/>
    </row>
    <row r="52" spans="2:11" x14ac:dyDescent="0.25">
      <c r="B52" s="12">
        <v>39630</v>
      </c>
      <c r="C52" s="69">
        <f t="shared" si="0"/>
        <v>0</v>
      </c>
      <c r="D52" s="75">
        <v>0</v>
      </c>
      <c r="E52" s="75"/>
      <c r="G52" s="6"/>
      <c r="I52" s="6"/>
      <c r="J52" s="7"/>
      <c r="K52" s="6"/>
    </row>
    <row r="53" spans="2:11" x14ac:dyDescent="0.25">
      <c r="B53" s="12">
        <v>39600</v>
      </c>
      <c r="C53" s="69">
        <f t="shared" si="0"/>
        <v>2.4990038738240177</v>
      </c>
      <c r="D53" s="75">
        <v>180.7</v>
      </c>
      <c r="E53" s="75">
        <v>451.57</v>
      </c>
      <c r="G53" s="6"/>
      <c r="I53" s="6"/>
      <c r="J53" s="7"/>
      <c r="K53" s="6"/>
    </row>
    <row r="54" spans="2:11" x14ac:dyDescent="0.25">
      <c r="B54" s="12">
        <v>39569</v>
      </c>
      <c r="C54" s="69">
        <f t="shared" si="0"/>
        <v>0</v>
      </c>
      <c r="D54" s="75">
        <v>0</v>
      </c>
      <c r="E54" s="75"/>
      <c r="G54" s="6"/>
      <c r="I54" s="6"/>
      <c r="J54" s="7"/>
      <c r="K54" s="6"/>
    </row>
    <row r="55" spans="2:11" x14ac:dyDescent="0.25">
      <c r="B55" s="12">
        <v>39539</v>
      </c>
      <c r="C55" s="69">
        <f t="shared" si="0"/>
        <v>1.998997493734336</v>
      </c>
      <c r="D55" s="75">
        <f>748+50</f>
        <v>798</v>
      </c>
      <c r="E55" s="75">
        <f>1495.25+99.95</f>
        <v>1595.2</v>
      </c>
      <c r="G55" s="6"/>
      <c r="I55" s="6"/>
      <c r="J55" s="7"/>
      <c r="K55" s="6"/>
    </row>
    <row r="56" spans="2:11" x14ac:dyDescent="0.25">
      <c r="B56" s="12">
        <v>39508</v>
      </c>
      <c r="C56" s="69">
        <f t="shared" si="0"/>
        <v>0</v>
      </c>
      <c r="D56" s="75">
        <v>0</v>
      </c>
      <c r="E56" s="75"/>
      <c r="G56" s="6"/>
      <c r="I56" s="6"/>
      <c r="J56" s="7"/>
      <c r="K56" s="6"/>
    </row>
    <row r="57" spans="2:11" x14ac:dyDescent="0.25">
      <c r="B57" s="12">
        <v>39479</v>
      </c>
      <c r="C57" s="69">
        <f t="shared" si="0"/>
        <v>0</v>
      </c>
      <c r="D57" s="75">
        <v>0</v>
      </c>
      <c r="E57" s="75"/>
      <c r="G57" s="6"/>
      <c r="I57" s="6"/>
      <c r="J57" s="7"/>
      <c r="K57" s="6"/>
    </row>
    <row r="58" spans="2:11" x14ac:dyDescent="0.25">
      <c r="B58" s="12">
        <v>39448</v>
      </c>
      <c r="C58" s="69">
        <f t="shared" si="0"/>
        <v>0</v>
      </c>
      <c r="D58" s="75">
        <v>0</v>
      </c>
      <c r="E58" s="75"/>
      <c r="G58" s="6"/>
      <c r="I58" s="6"/>
      <c r="J58" s="7"/>
      <c r="K58" s="6"/>
    </row>
    <row r="59" spans="2:11" x14ac:dyDescent="0.25">
      <c r="B59" s="12">
        <v>39417</v>
      </c>
      <c r="C59" s="69">
        <f t="shared" si="0"/>
        <v>0</v>
      </c>
      <c r="D59" s="75">
        <v>0</v>
      </c>
      <c r="E59" s="75"/>
      <c r="G59" s="6"/>
      <c r="I59" s="6"/>
      <c r="J59" s="7"/>
      <c r="K59" s="6"/>
    </row>
    <row r="60" spans="2:11" x14ac:dyDescent="0.25">
      <c r="B60" s="12">
        <v>39387</v>
      </c>
      <c r="C60" s="69">
        <f t="shared" si="0"/>
        <v>0</v>
      </c>
      <c r="D60" s="75">
        <v>0</v>
      </c>
      <c r="E60" s="75"/>
      <c r="G60" s="6"/>
      <c r="I60" s="6"/>
      <c r="J60" s="7"/>
      <c r="K60" s="6"/>
    </row>
    <row r="61" spans="2:11" x14ac:dyDescent="0.25">
      <c r="B61" s="12">
        <v>39356</v>
      </c>
      <c r="C61" s="69">
        <f t="shared" si="0"/>
        <v>0</v>
      </c>
      <c r="D61" s="75">
        <v>0</v>
      </c>
      <c r="E61" s="75"/>
      <c r="G61" s="6"/>
      <c r="I61" s="6"/>
      <c r="J61" s="7"/>
      <c r="K61" s="6"/>
    </row>
    <row r="62" spans="2:11" x14ac:dyDescent="0.25">
      <c r="B62" s="12">
        <v>39326</v>
      </c>
      <c r="C62" s="69">
        <f t="shared" si="0"/>
        <v>0</v>
      </c>
      <c r="D62" s="75">
        <v>0</v>
      </c>
      <c r="E62" s="75"/>
      <c r="G62" s="6"/>
      <c r="I62" s="6"/>
      <c r="J62" s="7"/>
      <c r="K62" s="6"/>
    </row>
    <row r="63" spans="2:11" x14ac:dyDescent="0.25">
      <c r="B63" s="12">
        <v>39295</v>
      </c>
      <c r="C63" s="69">
        <f t="shared" si="0"/>
        <v>0</v>
      </c>
      <c r="D63" s="75">
        <v>0</v>
      </c>
      <c r="E63" s="75"/>
      <c r="G63" s="6"/>
      <c r="I63" s="6"/>
      <c r="J63" s="7"/>
      <c r="K63" s="6"/>
    </row>
    <row r="64" spans="2:11" x14ac:dyDescent="0.25">
      <c r="B64" s="12">
        <v>39264</v>
      </c>
      <c r="C64" s="69">
        <f t="shared" si="0"/>
        <v>0</v>
      </c>
      <c r="D64" s="75">
        <v>0</v>
      </c>
      <c r="E64" s="75"/>
      <c r="G64" s="6"/>
      <c r="I64" s="6"/>
      <c r="J64" s="7"/>
      <c r="K64" s="6"/>
    </row>
    <row r="65" spans="2:11" x14ac:dyDescent="0.25">
      <c r="B65" s="12">
        <v>39234</v>
      </c>
      <c r="C65" s="69">
        <f t="shared" si="0"/>
        <v>0</v>
      </c>
      <c r="D65" s="75">
        <v>0</v>
      </c>
      <c r="E65" s="75"/>
      <c r="G65" s="6"/>
      <c r="I65" s="6"/>
      <c r="J65" s="7"/>
      <c r="K65" s="6"/>
    </row>
    <row r="66" spans="2:11" x14ac:dyDescent="0.25">
      <c r="B66" s="12">
        <v>39203</v>
      </c>
      <c r="C66" s="69">
        <f t="shared" si="0"/>
        <v>0</v>
      </c>
      <c r="D66" s="75">
        <v>0</v>
      </c>
      <c r="E66" s="75"/>
      <c r="G66" s="6"/>
      <c r="I66" s="6"/>
      <c r="J66" s="7"/>
      <c r="K66" s="6"/>
    </row>
    <row r="67" spans="2:11" x14ac:dyDescent="0.25">
      <c r="B67" s="24">
        <v>39173</v>
      </c>
      <c r="C67" s="69">
        <f t="shared" si="0"/>
        <v>0</v>
      </c>
      <c r="D67" s="76">
        <v>0</v>
      </c>
      <c r="E67" s="76"/>
      <c r="G67" s="6"/>
      <c r="I67" s="6"/>
      <c r="J67" s="7"/>
      <c r="K67" s="6"/>
    </row>
    <row r="68" spans="2:11" x14ac:dyDescent="0.25">
      <c r="B68" s="12">
        <v>39142</v>
      </c>
      <c r="C68" s="69">
        <f t="shared" si="0"/>
        <v>0</v>
      </c>
      <c r="D68" s="75">
        <v>0</v>
      </c>
      <c r="E68" s="75"/>
      <c r="G68" s="6"/>
      <c r="I68" s="6"/>
      <c r="J68" s="7"/>
      <c r="K68" s="6"/>
    </row>
    <row r="69" spans="2:11" x14ac:dyDescent="0.25">
      <c r="B69" s="12">
        <v>39114</v>
      </c>
      <c r="C69" s="69">
        <f t="shared" ref="C69:C70" si="1">IF(E69&gt;0,E69/D69,0)</f>
        <v>0</v>
      </c>
      <c r="D69" s="75">
        <v>0</v>
      </c>
      <c r="E69" s="75"/>
      <c r="G69" s="6"/>
      <c r="I69" s="6"/>
      <c r="J69" s="7"/>
      <c r="K69" s="6"/>
    </row>
    <row r="70" spans="2:11" x14ac:dyDescent="0.25">
      <c r="B70" s="12">
        <v>39083</v>
      </c>
      <c r="C70" s="69">
        <f t="shared" si="1"/>
        <v>0</v>
      </c>
      <c r="D70" s="75">
        <v>0</v>
      </c>
      <c r="E70" s="75"/>
      <c r="G70" s="6"/>
      <c r="I70" s="6"/>
      <c r="J70" s="7"/>
      <c r="K70" s="6"/>
    </row>
    <row r="72" spans="2:11" x14ac:dyDescent="0.25">
      <c r="B72" s="10" t="s">
        <v>6</v>
      </c>
      <c r="D72" s="28">
        <f>SUM(D4:D70)</f>
        <v>5151.5999999999995</v>
      </c>
      <c r="E72" s="3">
        <f>SUM(E4:E70)</f>
        <v>10915.58</v>
      </c>
    </row>
  </sheetData>
  <hyperlinks>
    <hyperlink ref="A1" location="a34098368" display="a34098368"/>
  </hyperlinks>
  <pageMargins left="0.7" right="0.7" top="0.75" bottom="0.75" header="0.3" footer="0.3"/>
  <pageSetup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5" max="5" width="11.5703125" bestFit="1" customWidth="1"/>
    <col min="7" max="7" width="16.140625" customWidth="1"/>
    <col min="9" max="9" width="13.5703125" customWidth="1"/>
    <col min="10" max="10" width="10.7109375" bestFit="1" customWidth="1"/>
  </cols>
  <sheetData>
    <row r="1" spans="1:5" x14ac:dyDescent="0.25">
      <c r="A1" s="5">
        <f>Summary!B16</f>
        <v>30506</v>
      </c>
      <c r="B1" s="2" t="str">
        <f>Summary!C16</f>
        <v>No name given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0</v>
      </c>
      <c r="D4" s="57">
        <v>0</v>
      </c>
      <c r="E4" s="74"/>
    </row>
    <row r="5" spans="1:5" x14ac:dyDescent="0.25">
      <c r="B5" s="12">
        <v>41061</v>
      </c>
      <c r="C5" s="69">
        <f t="shared" ref="C5:C68" si="0">IF(E5&gt;0,E5/D5,0)</f>
        <v>0</v>
      </c>
      <c r="D5" s="57">
        <v>0</v>
      </c>
      <c r="E5" s="74"/>
    </row>
    <row r="6" spans="1:5" x14ac:dyDescent="0.25">
      <c r="B6" s="12">
        <v>41030</v>
      </c>
      <c r="C6" s="69">
        <f t="shared" si="0"/>
        <v>0</v>
      </c>
      <c r="D6" s="57">
        <v>0</v>
      </c>
      <c r="E6" s="74"/>
    </row>
    <row r="7" spans="1:5" x14ac:dyDescent="0.25">
      <c r="B7" s="12">
        <v>41000</v>
      </c>
      <c r="C7" s="69">
        <f t="shared" si="0"/>
        <v>0</v>
      </c>
      <c r="D7" s="57">
        <v>0</v>
      </c>
      <c r="E7" s="74"/>
    </row>
    <row r="8" spans="1:5" x14ac:dyDescent="0.25">
      <c r="B8" s="12">
        <v>40969</v>
      </c>
      <c r="C8" s="69">
        <f t="shared" si="0"/>
        <v>0</v>
      </c>
      <c r="D8" s="57">
        <v>0</v>
      </c>
      <c r="E8" s="74"/>
    </row>
    <row r="9" spans="1:5" x14ac:dyDescent="0.25">
      <c r="B9" s="12">
        <v>40940</v>
      </c>
      <c r="C9" s="69">
        <f t="shared" si="0"/>
        <v>0</v>
      </c>
      <c r="D9" s="74">
        <v>0</v>
      </c>
      <c r="E9" s="74"/>
    </row>
    <row r="10" spans="1:5" x14ac:dyDescent="0.25">
      <c r="B10" s="12">
        <v>40909</v>
      </c>
      <c r="C10" s="69">
        <f t="shared" si="0"/>
        <v>0</v>
      </c>
      <c r="D10" s="74">
        <v>0</v>
      </c>
      <c r="E10" s="74"/>
    </row>
    <row r="11" spans="1:5" x14ac:dyDescent="0.25">
      <c r="B11" s="12">
        <v>40878</v>
      </c>
      <c r="C11" s="69">
        <f t="shared" si="0"/>
        <v>0</v>
      </c>
      <c r="D11" s="74">
        <v>0</v>
      </c>
      <c r="E11" s="74"/>
    </row>
    <row r="12" spans="1:5" x14ac:dyDescent="0.25">
      <c r="B12" s="12">
        <v>40848</v>
      </c>
      <c r="C12" s="69">
        <f t="shared" si="0"/>
        <v>0</v>
      </c>
      <c r="D12" s="74">
        <v>0</v>
      </c>
      <c r="E12" s="74"/>
    </row>
    <row r="13" spans="1:5" x14ac:dyDescent="0.25">
      <c r="B13" s="12">
        <v>40817</v>
      </c>
      <c r="C13" s="69">
        <f t="shared" si="0"/>
        <v>0</v>
      </c>
      <c r="D13" s="74">
        <v>0</v>
      </c>
      <c r="E13" s="74"/>
    </row>
    <row r="14" spans="1:5" x14ac:dyDescent="0.25">
      <c r="B14" s="12">
        <v>40787</v>
      </c>
      <c r="C14" s="69">
        <f t="shared" si="0"/>
        <v>0</v>
      </c>
      <c r="D14" s="74">
        <v>0</v>
      </c>
      <c r="E14" s="74"/>
    </row>
    <row r="15" spans="1:5" x14ac:dyDescent="0.25">
      <c r="B15" s="12">
        <v>40756</v>
      </c>
      <c r="C15" s="69">
        <f t="shared" si="0"/>
        <v>0</v>
      </c>
      <c r="D15" s="74">
        <v>0</v>
      </c>
      <c r="E15" s="74"/>
    </row>
    <row r="16" spans="1:5" x14ac:dyDescent="0.25">
      <c r="B16" s="12">
        <v>40725</v>
      </c>
      <c r="C16" s="69">
        <f t="shared" si="0"/>
        <v>0</v>
      </c>
      <c r="D16" s="74">
        <v>0</v>
      </c>
      <c r="E16" s="74"/>
    </row>
    <row r="17" spans="2:11" x14ac:dyDescent="0.25">
      <c r="B17" s="12">
        <v>40695</v>
      </c>
      <c r="C17" s="69">
        <f t="shared" si="0"/>
        <v>0</v>
      </c>
      <c r="D17" s="74">
        <v>0</v>
      </c>
      <c r="E17" s="74"/>
    </row>
    <row r="18" spans="2:11" x14ac:dyDescent="0.25">
      <c r="B18" s="12">
        <v>40664</v>
      </c>
      <c r="C18" s="69">
        <f t="shared" si="0"/>
        <v>0</v>
      </c>
      <c r="D18" s="74">
        <v>0</v>
      </c>
      <c r="E18" s="74"/>
    </row>
    <row r="19" spans="2:11" x14ac:dyDescent="0.25">
      <c r="B19" s="12">
        <v>40634</v>
      </c>
      <c r="C19" s="69">
        <f t="shared" si="0"/>
        <v>0</v>
      </c>
      <c r="D19" s="74">
        <v>0</v>
      </c>
      <c r="E19" s="74"/>
    </row>
    <row r="20" spans="2:11" x14ac:dyDescent="0.25">
      <c r="B20" s="12">
        <v>40603</v>
      </c>
      <c r="C20" s="69">
        <f t="shared" si="0"/>
        <v>0</v>
      </c>
      <c r="D20" s="74">
        <v>0</v>
      </c>
      <c r="E20" s="74"/>
      <c r="G20" s="6"/>
      <c r="I20" s="6"/>
      <c r="J20" s="10"/>
      <c r="K20" s="6"/>
    </row>
    <row r="21" spans="2:11" x14ac:dyDescent="0.25">
      <c r="B21" s="12">
        <v>40575</v>
      </c>
      <c r="C21" s="69">
        <f t="shared" si="0"/>
        <v>0</v>
      </c>
      <c r="D21" s="75">
        <v>0</v>
      </c>
      <c r="E21" s="75"/>
      <c r="G21" s="6"/>
      <c r="I21" s="6"/>
      <c r="J21" s="10"/>
      <c r="K21" s="6"/>
    </row>
    <row r="22" spans="2:11" x14ac:dyDescent="0.25">
      <c r="B22" s="12">
        <v>40544</v>
      </c>
      <c r="C22" s="69">
        <f t="shared" si="0"/>
        <v>0</v>
      </c>
      <c r="D22" s="75">
        <v>0</v>
      </c>
      <c r="E22" s="75"/>
      <c r="G22" s="6"/>
      <c r="I22" s="6"/>
      <c r="J22" s="10"/>
      <c r="K22" s="6"/>
    </row>
    <row r="23" spans="2:11" x14ac:dyDescent="0.25">
      <c r="B23" s="12">
        <v>40513</v>
      </c>
      <c r="C23" s="69">
        <f t="shared" si="0"/>
        <v>0</v>
      </c>
      <c r="D23" s="75">
        <v>0</v>
      </c>
      <c r="E23" s="75"/>
      <c r="G23" s="6"/>
      <c r="I23" s="6"/>
      <c r="J23" s="10"/>
      <c r="K23" s="6"/>
    </row>
    <row r="24" spans="2:11" x14ac:dyDescent="0.25">
      <c r="B24" s="12">
        <v>40483</v>
      </c>
      <c r="C24" s="69">
        <f t="shared" si="0"/>
        <v>0</v>
      </c>
      <c r="D24" s="75">
        <v>0</v>
      </c>
      <c r="E24" s="75"/>
      <c r="G24" s="6"/>
      <c r="I24" s="6"/>
      <c r="J24" s="10"/>
      <c r="K24" s="6"/>
    </row>
    <row r="25" spans="2:11" x14ac:dyDescent="0.25">
      <c r="B25" s="12">
        <v>40452</v>
      </c>
      <c r="C25" s="69">
        <f t="shared" si="0"/>
        <v>0</v>
      </c>
      <c r="D25" s="75">
        <v>0</v>
      </c>
      <c r="E25" s="75"/>
      <c r="G25" s="6"/>
      <c r="I25" s="6"/>
      <c r="J25" s="10"/>
      <c r="K25" s="6"/>
    </row>
    <row r="26" spans="2:11" x14ac:dyDescent="0.25">
      <c r="B26" s="12">
        <v>40422</v>
      </c>
      <c r="C26" s="69">
        <f t="shared" si="0"/>
        <v>0</v>
      </c>
      <c r="D26" s="75">
        <v>0</v>
      </c>
      <c r="E26" s="75"/>
      <c r="G26" s="6"/>
      <c r="I26" s="6"/>
      <c r="J26" s="10"/>
      <c r="K26" s="6"/>
    </row>
    <row r="27" spans="2:11" x14ac:dyDescent="0.25">
      <c r="B27" s="12">
        <v>40391</v>
      </c>
      <c r="C27" s="69">
        <f t="shared" si="0"/>
        <v>0</v>
      </c>
      <c r="D27" s="75">
        <v>0</v>
      </c>
      <c r="E27" s="75"/>
      <c r="G27" s="6"/>
      <c r="I27" s="6"/>
      <c r="J27" s="10"/>
      <c r="K27" s="6"/>
    </row>
    <row r="28" spans="2:11" x14ac:dyDescent="0.25">
      <c r="B28" s="12">
        <v>40360</v>
      </c>
      <c r="C28" s="69">
        <f t="shared" si="0"/>
        <v>0</v>
      </c>
      <c r="D28" s="75">
        <v>0</v>
      </c>
      <c r="E28" s="75"/>
      <c r="G28" s="6"/>
      <c r="I28" s="6"/>
      <c r="J28" s="10"/>
    </row>
    <row r="29" spans="2:11" x14ac:dyDescent="0.25">
      <c r="B29" s="12">
        <v>40330</v>
      </c>
      <c r="C29" s="69">
        <f t="shared" si="0"/>
        <v>0</v>
      </c>
      <c r="D29" s="75">
        <v>0</v>
      </c>
      <c r="E29" s="75"/>
      <c r="G29" s="6"/>
      <c r="I29" s="6"/>
      <c r="J29" s="10"/>
      <c r="K29" s="6"/>
    </row>
    <row r="30" spans="2:11" x14ac:dyDescent="0.25">
      <c r="B30" s="12">
        <v>40299</v>
      </c>
      <c r="C30" s="69">
        <f t="shared" si="0"/>
        <v>0</v>
      </c>
      <c r="D30" s="75">
        <v>0</v>
      </c>
      <c r="E30" s="75"/>
      <c r="G30" s="6"/>
      <c r="I30" s="6"/>
      <c r="J30" s="10"/>
      <c r="K30" s="6"/>
    </row>
    <row r="31" spans="2:11" x14ac:dyDescent="0.25">
      <c r="B31" s="12">
        <v>40269</v>
      </c>
      <c r="C31" s="69">
        <f t="shared" si="0"/>
        <v>0</v>
      </c>
      <c r="D31" s="75">
        <v>0</v>
      </c>
      <c r="E31" s="75"/>
      <c r="G31" s="6"/>
      <c r="I31" s="6"/>
      <c r="J31" s="10"/>
    </row>
    <row r="32" spans="2:11" x14ac:dyDescent="0.25">
      <c r="B32" s="12">
        <v>40238</v>
      </c>
      <c r="C32" s="69">
        <f t="shared" si="0"/>
        <v>1.7990366088631986</v>
      </c>
      <c r="D32" s="75">
        <v>103.8</v>
      </c>
      <c r="E32" s="75">
        <v>186.74</v>
      </c>
      <c r="G32" s="6"/>
      <c r="I32" s="6"/>
      <c r="J32" s="10"/>
      <c r="K32" s="6"/>
    </row>
    <row r="33" spans="2:11" x14ac:dyDescent="0.25">
      <c r="B33" s="12">
        <v>40210</v>
      </c>
      <c r="C33" s="69">
        <f t="shared" si="0"/>
        <v>1.7990115321252058</v>
      </c>
      <c r="D33" s="75">
        <v>121.4</v>
      </c>
      <c r="E33" s="75">
        <v>218.4</v>
      </c>
      <c r="G33" s="6"/>
      <c r="I33" s="6"/>
      <c r="J33" s="10"/>
      <c r="K33" s="6"/>
    </row>
    <row r="34" spans="2:11" x14ac:dyDescent="0.25">
      <c r="B34" s="12">
        <v>40179</v>
      </c>
      <c r="C34" s="69">
        <f t="shared" si="0"/>
        <v>1.7989898989898989</v>
      </c>
      <c r="D34" s="75">
        <v>99</v>
      </c>
      <c r="E34" s="75">
        <v>178.1</v>
      </c>
      <c r="G34" s="6"/>
      <c r="I34" s="6"/>
      <c r="J34" s="10"/>
      <c r="K34" s="6"/>
    </row>
    <row r="35" spans="2:11" x14ac:dyDescent="0.25">
      <c r="B35" s="12">
        <v>40148</v>
      </c>
      <c r="C35" s="69">
        <f t="shared" si="0"/>
        <v>1.7989768076398365</v>
      </c>
      <c r="D35" s="75">
        <v>146.6</v>
      </c>
      <c r="E35" s="75">
        <v>263.73</v>
      </c>
      <c r="G35" s="6"/>
      <c r="I35" s="6"/>
      <c r="J35" s="10"/>
      <c r="K35" s="6"/>
    </row>
    <row r="36" spans="2:11" x14ac:dyDescent="0.25">
      <c r="B36" s="12">
        <v>40118</v>
      </c>
      <c r="C36" s="69">
        <f t="shared" si="0"/>
        <v>0</v>
      </c>
      <c r="D36" s="75">
        <v>0</v>
      </c>
      <c r="E36" s="75"/>
      <c r="G36" s="6"/>
      <c r="I36" s="6"/>
      <c r="J36" s="10"/>
      <c r="K36" s="6"/>
    </row>
    <row r="37" spans="2:11" x14ac:dyDescent="0.25">
      <c r="B37" s="12">
        <v>40087</v>
      </c>
      <c r="C37" s="69">
        <f t="shared" si="0"/>
        <v>1.7990191707534551</v>
      </c>
      <c r="D37" s="75">
        <f>169.3+55</f>
        <v>224.3</v>
      </c>
      <c r="E37" s="75">
        <f>304.57+98.95</f>
        <v>403.52</v>
      </c>
      <c r="G37" s="6"/>
      <c r="I37" s="6"/>
      <c r="J37" s="10"/>
      <c r="K37" s="6"/>
    </row>
    <row r="38" spans="2:11" x14ac:dyDescent="0.25">
      <c r="B38" s="12">
        <v>40057</v>
      </c>
      <c r="C38" s="69">
        <f t="shared" si="0"/>
        <v>0</v>
      </c>
      <c r="D38" s="75">
        <v>0</v>
      </c>
      <c r="E38" s="75"/>
      <c r="G38" s="6"/>
      <c r="I38" s="6"/>
      <c r="J38" s="10"/>
      <c r="K38" s="6"/>
    </row>
    <row r="39" spans="2:11" x14ac:dyDescent="0.25">
      <c r="B39" s="12">
        <v>40026</v>
      </c>
      <c r="C39" s="69">
        <f t="shared" si="0"/>
        <v>0</v>
      </c>
      <c r="D39" s="75">
        <v>0</v>
      </c>
      <c r="E39" s="75"/>
      <c r="G39" s="6"/>
      <c r="I39" s="6"/>
      <c r="J39" s="10"/>
    </row>
    <row r="40" spans="2:11" x14ac:dyDescent="0.25">
      <c r="B40" s="12">
        <v>39995</v>
      </c>
      <c r="C40" s="69">
        <f t="shared" si="0"/>
        <v>0</v>
      </c>
      <c r="D40" s="75">
        <v>0</v>
      </c>
      <c r="E40" s="75"/>
      <c r="G40" s="6"/>
      <c r="I40" s="6"/>
      <c r="J40" s="10"/>
    </row>
    <row r="41" spans="2:11" x14ac:dyDescent="0.25">
      <c r="B41" s="12">
        <v>39965</v>
      </c>
      <c r="C41" s="69">
        <f t="shared" si="0"/>
        <v>0</v>
      </c>
      <c r="D41" s="75">
        <v>0</v>
      </c>
      <c r="E41" s="75"/>
      <c r="G41" s="6"/>
      <c r="I41" s="6"/>
      <c r="J41" s="10"/>
    </row>
    <row r="42" spans="2:11" x14ac:dyDescent="0.25">
      <c r="B42" s="12">
        <v>39934</v>
      </c>
      <c r="C42" s="69">
        <f t="shared" si="0"/>
        <v>0</v>
      </c>
      <c r="D42" s="75">
        <v>0</v>
      </c>
      <c r="E42" s="75"/>
      <c r="G42" s="6"/>
      <c r="I42" s="6"/>
      <c r="J42" s="10"/>
    </row>
    <row r="43" spans="2:11" x14ac:dyDescent="0.25">
      <c r="B43" s="12">
        <v>39904</v>
      </c>
      <c r="C43" s="69">
        <f t="shared" si="0"/>
        <v>0</v>
      </c>
      <c r="D43" s="75">
        <v>0</v>
      </c>
      <c r="E43" s="75"/>
      <c r="G43" s="6"/>
      <c r="I43" s="6"/>
      <c r="J43" s="10"/>
    </row>
    <row r="44" spans="2:11" x14ac:dyDescent="0.25">
      <c r="B44" s="12">
        <v>39873</v>
      </c>
      <c r="C44" s="69">
        <f t="shared" si="0"/>
        <v>0</v>
      </c>
      <c r="D44" s="75">
        <v>0</v>
      </c>
      <c r="E44" s="75"/>
      <c r="G44" s="6"/>
      <c r="I44" s="6"/>
      <c r="J44" s="10"/>
    </row>
    <row r="45" spans="2:11" x14ac:dyDescent="0.25">
      <c r="B45" s="12">
        <v>39845</v>
      </c>
      <c r="C45" s="69">
        <f t="shared" si="0"/>
        <v>0</v>
      </c>
      <c r="D45" s="75">
        <v>0</v>
      </c>
      <c r="E45" s="75"/>
      <c r="G45" s="6"/>
      <c r="I45" s="6"/>
      <c r="J45" s="10"/>
    </row>
    <row r="46" spans="2:11" x14ac:dyDescent="0.25">
      <c r="B46" s="12">
        <v>39814</v>
      </c>
      <c r="C46" s="69">
        <f t="shared" si="0"/>
        <v>0</v>
      </c>
      <c r="D46" s="75">
        <v>0</v>
      </c>
      <c r="E46" s="75"/>
      <c r="G46" s="6"/>
      <c r="I46" s="6"/>
      <c r="J46" s="10"/>
    </row>
    <row r="47" spans="2:11" x14ac:dyDescent="0.25">
      <c r="B47" s="12">
        <v>39783</v>
      </c>
      <c r="C47" s="69">
        <f t="shared" si="0"/>
        <v>0</v>
      </c>
      <c r="D47" s="75">
        <v>0</v>
      </c>
      <c r="E47" s="75"/>
      <c r="G47" s="6"/>
      <c r="I47" s="6"/>
      <c r="J47" s="10"/>
    </row>
    <row r="48" spans="2:11" x14ac:dyDescent="0.25">
      <c r="B48" s="12">
        <v>39753</v>
      </c>
      <c r="C48" s="69">
        <f t="shared" si="0"/>
        <v>0</v>
      </c>
      <c r="D48" s="75">
        <v>0</v>
      </c>
      <c r="E48" s="75"/>
      <c r="G48" s="6"/>
      <c r="I48" s="6"/>
      <c r="J48" s="10"/>
    </row>
    <row r="49" spans="2:10" x14ac:dyDescent="0.25">
      <c r="B49" s="12">
        <v>39722</v>
      </c>
      <c r="C49" s="69">
        <f t="shared" si="0"/>
        <v>0</v>
      </c>
      <c r="D49" s="75">
        <v>0</v>
      </c>
      <c r="E49" s="75"/>
      <c r="G49" s="6"/>
      <c r="I49" s="6"/>
      <c r="J49" s="10"/>
    </row>
    <row r="50" spans="2:10" x14ac:dyDescent="0.25">
      <c r="B50" s="12">
        <v>39692</v>
      </c>
      <c r="C50" s="69">
        <f t="shared" si="0"/>
        <v>0</v>
      </c>
      <c r="D50" s="75">
        <v>0</v>
      </c>
      <c r="E50" s="75"/>
      <c r="G50" s="6"/>
      <c r="I50" s="6"/>
      <c r="J50" s="10"/>
    </row>
    <row r="51" spans="2:10" x14ac:dyDescent="0.25">
      <c r="B51" s="12">
        <v>39661</v>
      </c>
      <c r="C51" s="69">
        <f t="shared" si="0"/>
        <v>0</v>
      </c>
      <c r="D51" s="75">
        <v>0</v>
      </c>
      <c r="E51" s="75"/>
      <c r="G51" s="6"/>
      <c r="I51" s="6"/>
      <c r="J51" s="10"/>
    </row>
    <row r="52" spans="2:10" x14ac:dyDescent="0.25">
      <c r="B52" s="12">
        <v>39630</v>
      </c>
      <c r="C52" s="69">
        <f t="shared" si="0"/>
        <v>0</v>
      </c>
      <c r="D52" s="75">
        <v>0</v>
      </c>
      <c r="E52" s="75"/>
      <c r="G52" s="6"/>
      <c r="I52" s="6"/>
      <c r="J52" s="10"/>
    </row>
    <row r="53" spans="2:10" x14ac:dyDescent="0.25">
      <c r="B53" s="12">
        <v>39600</v>
      </c>
      <c r="C53" s="69">
        <f t="shared" si="0"/>
        <v>0</v>
      </c>
      <c r="D53" s="75">
        <v>0</v>
      </c>
      <c r="E53" s="75"/>
      <c r="G53" s="6"/>
      <c r="I53" s="6"/>
      <c r="J53" s="10"/>
    </row>
    <row r="54" spans="2:10" x14ac:dyDescent="0.25">
      <c r="B54" s="12">
        <v>39569</v>
      </c>
      <c r="C54" s="69">
        <f t="shared" si="0"/>
        <v>0</v>
      </c>
      <c r="D54" s="75">
        <v>0</v>
      </c>
      <c r="E54" s="75"/>
      <c r="G54" s="6"/>
      <c r="I54" s="6"/>
      <c r="J54" s="10"/>
    </row>
    <row r="55" spans="2:10" x14ac:dyDescent="0.25">
      <c r="B55" s="12">
        <v>39539</v>
      </c>
      <c r="C55" s="69">
        <f t="shared" si="0"/>
        <v>0</v>
      </c>
      <c r="D55" s="75">
        <v>0</v>
      </c>
      <c r="E55" s="75"/>
      <c r="G55" s="6"/>
      <c r="I55" s="6"/>
      <c r="J55" s="10"/>
    </row>
    <row r="56" spans="2:10" x14ac:dyDescent="0.25">
      <c r="B56" s="12">
        <v>39508</v>
      </c>
      <c r="C56" s="69">
        <f t="shared" si="0"/>
        <v>0</v>
      </c>
      <c r="D56" s="75">
        <v>0</v>
      </c>
      <c r="E56" s="75"/>
      <c r="G56" s="6"/>
      <c r="I56" s="6"/>
      <c r="J56" s="10"/>
    </row>
    <row r="57" spans="2:10" x14ac:dyDescent="0.25">
      <c r="B57" s="12">
        <v>39479</v>
      </c>
      <c r="C57" s="69">
        <f t="shared" si="0"/>
        <v>0</v>
      </c>
      <c r="D57" s="75">
        <v>0</v>
      </c>
      <c r="E57" s="75"/>
      <c r="G57" s="6"/>
      <c r="I57" s="6"/>
      <c r="J57" s="10"/>
    </row>
    <row r="58" spans="2:10" x14ac:dyDescent="0.25">
      <c r="B58" s="12">
        <v>39448</v>
      </c>
      <c r="C58" s="69">
        <f t="shared" si="0"/>
        <v>0</v>
      </c>
      <c r="D58" s="75">
        <v>0</v>
      </c>
      <c r="E58" s="75"/>
      <c r="G58" s="6"/>
      <c r="I58" s="6"/>
      <c r="J58" s="10"/>
    </row>
    <row r="59" spans="2:10" x14ac:dyDescent="0.25">
      <c r="B59" s="12">
        <v>39417</v>
      </c>
      <c r="C59" s="69">
        <f t="shared" si="0"/>
        <v>0</v>
      </c>
      <c r="D59" s="75">
        <v>0</v>
      </c>
      <c r="E59" s="75"/>
      <c r="G59" s="6"/>
      <c r="I59" s="6"/>
      <c r="J59" s="10"/>
    </row>
    <row r="60" spans="2:10" x14ac:dyDescent="0.25">
      <c r="B60" s="12">
        <v>39387</v>
      </c>
      <c r="C60" s="69">
        <f t="shared" si="0"/>
        <v>0</v>
      </c>
      <c r="D60" s="75">
        <v>0</v>
      </c>
      <c r="E60" s="75"/>
      <c r="G60" s="6"/>
      <c r="I60" s="6"/>
      <c r="J60" s="10"/>
    </row>
    <row r="61" spans="2:10" x14ac:dyDescent="0.25">
      <c r="B61" s="12">
        <v>39356</v>
      </c>
      <c r="C61" s="69">
        <f t="shared" si="0"/>
        <v>0</v>
      </c>
      <c r="D61" s="75">
        <v>0</v>
      </c>
      <c r="E61" s="75"/>
      <c r="G61" s="6"/>
      <c r="I61" s="6"/>
      <c r="J61" s="10"/>
    </row>
    <row r="62" spans="2:10" x14ac:dyDescent="0.25">
      <c r="B62" s="12">
        <v>39326</v>
      </c>
      <c r="C62" s="69">
        <f t="shared" si="0"/>
        <v>0</v>
      </c>
      <c r="D62" s="75">
        <v>0</v>
      </c>
      <c r="E62" s="75"/>
      <c r="G62" s="6"/>
      <c r="I62" s="6"/>
      <c r="J62" s="10"/>
    </row>
    <row r="63" spans="2:10" x14ac:dyDescent="0.25">
      <c r="B63" s="12">
        <v>39295</v>
      </c>
      <c r="C63" s="69">
        <f t="shared" si="0"/>
        <v>0</v>
      </c>
      <c r="D63" s="75">
        <v>0</v>
      </c>
      <c r="E63" s="75"/>
      <c r="G63" s="6"/>
      <c r="I63" s="6"/>
      <c r="J63" s="10"/>
    </row>
    <row r="64" spans="2:10" x14ac:dyDescent="0.25">
      <c r="B64" s="12">
        <v>39264</v>
      </c>
      <c r="C64" s="69">
        <f t="shared" si="0"/>
        <v>0</v>
      </c>
      <c r="D64" s="75">
        <v>0</v>
      </c>
      <c r="E64" s="75"/>
      <c r="G64" s="6"/>
      <c r="I64" s="6"/>
      <c r="J64" s="10"/>
    </row>
    <row r="65" spans="2:10" x14ac:dyDescent="0.25">
      <c r="B65" s="12">
        <v>39234</v>
      </c>
      <c r="C65" s="69">
        <f t="shared" si="0"/>
        <v>0</v>
      </c>
      <c r="D65" s="75">
        <v>0</v>
      </c>
      <c r="E65" s="75"/>
      <c r="G65" s="6"/>
      <c r="I65" s="6"/>
      <c r="J65" s="10"/>
    </row>
    <row r="66" spans="2:10" x14ac:dyDescent="0.25">
      <c r="B66" s="12">
        <v>39203</v>
      </c>
      <c r="C66" s="69">
        <f t="shared" si="0"/>
        <v>0</v>
      </c>
      <c r="D66" s="75">
        <v>0</v>
      </c>
      <c r="E66" s="75"/>
      <c r="G66" s="6"/>
      <c r="I66" s="6"/>
      <c r="J66" s="10"/>
    </row>
    <row r="67" spans="2:10" x14ac:dyDescent="0.25">
      <c r="B67" s="24">
        <v>39173</v>
      </c>
      <c r="C67" s="69">
        <f t="shared" si="0"/>
        <v>0</v>
      </c>
      <c r="D67" s="75">
        <v>0</v>
      </c>
      <c r="E67" s="75"/>
      <c r="G67" s="6"/>
      <c r="I67" s="6"/>
      <c r="J67" s="10"/>
    </row>
    <row r="68" spans="2:10" x14ac:dyDescent="0.25">
      <c r="B68" s="12">
        <v>39142</v>
      </c>
      <c r="C68" s="69">
        <f t="shared" si="0"/>
        <v>0</v>
      </c>
      <c r="D68" s="75">
        <v>0</v>
      </c>
      <c r="E68" s="75"/>
      <c r="G68" s="6"/>
      <c r="I68" s="6"/>
      <c r="J68" s="10"/>
    </row>
    <row r="69" spans="2:10" x14ac:dyDescent="0.25">
      <c r="B69" s="12">
        <v>39114</v>
      </c>
      <c r="C69" s="69">
        <f t="shared" ref="C69:C70" si="1">IF(E69&gt;0,E69/D69,0)</f>
        <v>0</v>
      </c>
      <c r="D69" s="75">
        <v>0</v>
      </c>
      <c r="E69" s="75"/>
      <c r="G69" s="6"/>
      <c r="I69" s="6"/>
      <c r="J69" s="10"/>
    </row>
    <row r="70" spans="2:10" x14ac:dyDescent="0.25">
      <c r="B70" s="12">
        <v>39083</v>
      </c>
      <c r="C70" s="69">
        <f t="shared" si="1"/>
        <v>0</v>
      </c>
      <c r="D70" s="75">
        <v>0</v>
      </c>
      <c r="E70" s="75"/>
      <c r="G70" s="6"/>
      <c r="I70" s="6"/>
      <c r="J70" s="10"/>
    </row>
    <row r="72" spans="2:10" x14ac:dyDescent="0.25">
      <c r="B72" s="10" t="s">
        <v>6</v>
      </c>
      <c r="D72" s="28">
        <f>SUM(D4:D70)</f>
        <v>695.09999999999991</v>
      </c>
      <c r="E72" s="3">
        <f>SUM(E4:E70)</f>
        <v>1250.49</v>
      </c>
    </row>
  </sheetData>
  <hyperlinks>
    <hyperlink ref="A1" location="a34447043" display="a34447043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1" max="1" width="10" bestFit="1" customWidth="1"/>
    <col min="2" max="2" width="11" bestFit="1" customWidth="1"/>
    <col min="4" max="4" width="9.5703125" bestFit="1" customWidth="1"/>
    <col min="5" max="5" width="11.7109375" bestFit="1" customWidth="1"/>
    <col min="7" max="7" width="12.85546875" customWidth="1"/>
    <col min="9" max="9" width="8.5703125" customWidth="1"/>
    <col min="10" max="10" width="15.28515625" customWidth="1"/>
  </cols>
  <sheetData>
    <row r="1" spans="1:5" x14ac:dyDescent="0.25">
      <c r="A1" s="5">
        <f>Summary!B17</f>
        <v>30507</v>
      </c>
      <c r="B1" s="2" t="str">
        <f>Summary!C17</f>
        <v>002107: 002359   SC 6-7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0</v>
      </c>
      <c r="D4" s="57">
        <v>0</v>
      </c>
      <c r="E4" s="74"/>
    </row>
    <row r="5" spans="1:5" x14ac:dyDescent="0.25">
      <c r="B5" s="12">
        <v>41061</v>
      </c>
      <c r="C5" s="69">
        <f t="shared" ref="C5:C68" si="0">IF(E5&gt;0,E5/D5,0)</f>
        <v>2.2990144315381906</v>
      </c>
      <c r="D5" s="57">
        <v>284.10000000000002</v>
      </c>
      <c r="E5" s="74">
        <v>653.15</v>
      </c>
    </row>
    <row r="6" spans="1:5" x14ac:dyDescent="0.25">
      <c r="B6" s="12">
        <v>41030</v>
      </c>
      <c r="C6" s="69">
        <f t="shared" si="0"/>
        <v>2.2989983048235474</v>
      </c>
      <c r="D6" s="57">
        <v>648.9</v>
      </c>
      <c r="E6" s="74">
        <v>1491.82</v>
      </c>
    </row>
    <row r="7" spans="1:5" x14ac:dyDescent="0.25">
      <c r="B7" s="12">
        <v>41000</v>
      </c>
      <c r="C7" s="69">
        <f t="shared" si="0"/>
        <v>0</v>
      </c>
      <c r="D7" s="57">
        <v>0</v>
      </c>
      <c r="E7" s="74"/>
    </row>
    <row r="8" spans="1:5" x14ac:dyDescent="0.25">
      <c r="B8" s="12">
        <v>40969</v>
      </c>
      <c r="C8" s="69">
        <f t="shared" si="0"/>
        <v>2.2990070093457944</v>
      </c>
      <c r="D8" s="57">
        <v>684.8</v>
      </c>
      <c r="E8" s="74">
        <v>1574.36</v>
      </c>
    </row>
    <row r="9" spans="1:5" x14ac:dyDescent="0.25">
      <c r="B9" s="12">
        <v>40940</v>
      </c>
      <c r="C9" s="69">
        <f t="shared" si="0"/>
        <v>2.2989924433249374</v>
      </c>
      <c r="D9" s="74">
        <f>138.7+615.6</f>
        <v>754.3</v>
      </c>
      <c r="E9" s="74">
        <f>318.87+1415.26</f>
        <v>1734.13</v>
      </c>
    </row>
    <row r="10" spans="1:5" x14ac:dyDescent="0.25">
      <c r="B10" s="12">
        <v>40909</v>
      </c>
      <c r="C10" s="69">
        <f t="shared" si="0"/>
        <v>2.2989961811238411</v>
      </c>
      <c r="D10" s="74">
        <f>916.5</f>
        <v>916.5</v>
      </c>
      <c r="E10" s="74">
        <v>2107.0300000000002</v>
      </c>
    </row>
    <row r="11" spans="1:5" x14ac:dyDescent="0.25">
      <c r="B11" s="12">
        <v>40878</v>
      </c>
      <c r="C11" s="69">
        <f t="shared" si="0"/>
        <v>0</v>
      </c>
      <c r="D11" s="74">
        <v>0</v>
      </c>
      <c r="E11" s="74"/>
    </row>
    <row r="12" spans="1:5" x14ac:dyDescent="0.25">
      <c r="B12" s="12">
        <v>40848</v>
      </c>
      <c r="C12" s="69">
        <f t="shared" si="0"/>
        <v>2.2989906103286386</v>
      </c>
      <c r="D12" s="74">
        <v>426</v>
      </c>
      <c r="E12" s="74">
        <v>979.37</v>
      </c>
    </row>
    <row r="13" spans="1:5" x14ac:dyDescent="0.25">
      <c r="B13" s="12">
        <v>40817</v>
      </c>
      <c r="C13" s="69">
        <f t="shared" si="0"/>
        <v>0</v>
      </c>
      <c r="D13" s="74">
        <v>0</v>
      </c>
      <c r="E13" s="74"/>
    </row>
    <row r="14" spans="1:5" x14ac:dyDescent="0.25">
      <c r="B14" s="12">
        <v>40787</v>
      </c>
      <c r="C14" s="69">
        <f t="shared" si="0"/>
        <v>0</v>
      </c>
      <c r="D14" s="74">
        <v>0</v>
      </c>
      <c r="E14" s="74"/>
    </row>
    <row r="15" spans="1:5" x14ac:dyDescent="0.25">
      <c r="B15" s="12">
        <v>40756</v>
      </c>
      <c r="C15" s="69">
        <f t="shared" si="0"/>
        <v>1.9989977368250886</v>
      </c>
      <c r="D15" s="74">
        <v>309.3</v>
      </c>
      <c r="E15" s="74">
        <v>618.29</v>
      </c>
    </row>
    <row r="16" spans="1:5" x14ac:dyDescent="0.25">
      <c r="B16" s="12">
        <v>40725</v>
      </c>
      <c r="C16" s="69">
        <f t="shared" si="0"/>
        <v>1.9989984185556142</v>
      </c>
      <c r="D16" s="74">
        <v>379.4</v>
      </c>
      <c r="E16" s="74">
        <v>758.42</v>
      </c>
    </row>
    <row r="17" spans="2:11" x14ac:dyDescent="0.25">
      <c r="B17" s="12">
        <v>40695</v>
      </c>
      <c r="C17" s="69">
        <f t="shared" si="0"/>
        <v>0</v>
      </c>
      <c r="D17" s="74">
        <v>0</v>
      </c>
      <c r="E17" s="74"/>
    </row>
    <row r="18" spans="2:11" x14ac:dyDescent="0.25">
      <c r="B18" s="12">
        <v>40664</v>
      </c>
      <c r="C18" s="69">
        <f t="shared" si="0"/>
        <v>1.9990017513134852</v>
      </c>
      <c r="D18" s="74">
        <v>571</v>
      </c>
      <c r="E18" s="74">
        <v>1141.43</v>
      </c>
    </row>
    <row r="19" spans="2:11" x14ac:dyDescent="0.25">
      <c r="B19" s="12">
        <v>40634</v>
      </c>
      <c r="C19" s="69">
        <f t="shared" si="0"/>
        <v>0</v>
      </c>
      <c r="D19" s="74">
        <v>0</v>
      </c>
      <c r="E19" s="74"/>
    </row>
    <row r="20" spans="2:11" x14ac:dyDescent="0.25">
      <c r="B20" s="12">
        <v>40603</v>
      </c>
      <c r="C20" s="69">
        <f t="shared" si="0"/>
        <v>0</v>
      </c>
      <c r="D20" s="74">
        <v>0</v>
      </c>
      <c r="E20" s="74"/>
      <c r="G20" s="6"/>
      <c r="I20" s="6"/>
      <c r="J20" s="10"/>
      <c r="K20" s="6"/>
    </row>
    <row r="21" spans="2:11" x14ac:dyDescent="0.25">
      <c r="B21" s="12">
        <v>40575</v>
      </c>
      <c r="C21" s="69">
        <f t="shared" si="0"/>
        <v>1.9989914662529094</v>
      </c>
      <c r="D21" s="75">
        <v>257.8</v>
      </c>
      <c r="E21" s="75">
        <v>515.34</v>
      </c>
      <c r="G21" s="6"/>
      <c r="I21" s="6"/>
      <c r="J21" s="10"/>
      <c r="K21" s="6"/>
    </row>
    <row r="22" spans="2:11" x14ac:dyDescent="0.25">
      <c r="B22" s="12">
        <v>40544</v>
      </c>
      <c r="C22" s="69">
        <f t="shared" si="0"/>
        <v>1.998996175908222</v>
      </c>
      <c r="D22" s="75">
        <v>836.8</v>
      </c>
      <c r="E22" s="75">
        <v>1672.76</v>
      </c>
      <c r="G22" s="6"/>
      <c r="I22" s="6"/>
      <c r="J22" s="10"/>
      <c r="K22" s="6"/>
    </row>
    <row r="23" spans="2:11" x14ac:dyDescent="0.25">
      <c r="B23" s="12">
        <v>40513</v>
      </c>
      <c r="C23" s="69">
        <f t="shared" si="0"/>
        <v>1.9989866821077016</v>
      </c>
      <c r="D23" s="75">
        <v>345.4</v>
      </c>
      <c r="E23" s="75">
        <v>690.45</v>
      </c>
      <c r="G23" s="6"/>
      <c r="I23" s="6"/>
      <c r="J23" s="10"/>
      <c r="K23" s="6"/>
    </row>
    <row r="24" spans="2:11" x14ac:dyDescent="0.25">
      <c r="B24" s="12">
        <v>40483</v>
      </c>
      <c r="C24" s="69">
        <f t="shared" si="0"/>
        <v>0</v>
      </c>
      <c r="D24" s="75">
        <v>0</v>
      </c>
      <c r="E24" s="75"/>
      <c r="G24" s="6"/>
      <c r="I24" s="6"/>
      <c r="J24" s="10"/>
      <c r="K24" s="6"/>
    </row>
    <row r="25" spans="2:11" x14ac:dyDescent="0.25">
      <c r="B25" s="12">
        <v>40452</v>
      </c>
      <c r="C25" s="69">
        <f t="shared" si="0"/>
        <v>1.999019607843137</v>
      </c>
      <c r="D25" s="75">
        <v>112.2</v>
      </c>
      <c r="E25" s="75">
        <v>224.29</v>
      </c>
      <c r="G25" s="6"/>
      <c r="I25" s="6"/>
      <c r="J25" s="10"/>
      <c r="K25" s="6"/>
    </row>
    <row r="26" spans="2:11" x14ac:dyDescent="0.25">
      <c r="B26" s="12">
        <v>40422</v>
      </c>
      <c r="C26" s="69">
        <f t="shared" si="0"/>
        <v>1.9990034308119586</v>
      </c>
      <c r="D26" s="75">
        <v>612.1</v>
      </c>
      <c r="E26" s="75">
        <v>1223.5899999999999</v>
      </c>
      <c r="G26" s="6"/>
      <c r="I26" s="6"/>
      <c r="J26" s="10"/>
      <c r="K26" s="6"/>
    </row>
    <row r="27" spans="2:11" x14ac:dyDescent="0.25">
      <c r="B27" s="12">
        <v>40391</v>
      </c>
      <c r="C27" s="69">
        <f t="shared" si="0"/>
        <v>0</v>
      </c>
      <c r="D27" s="75">
        <v>0</v>
      </c>
      <c r="E27" s="75"/>
      <c r="G27" s="6"/>
      <c r="I27" s="6"/>
      <c r="J27" s="10"/>
      <c r="K27" s="6"/>
    </row>
    <row r="28" spans="2:11" x14ac:dyDescent="0.25">
      <c r="B28" s="12">
        <v>40360</v>
      </c>
      <c r="C28" s="69">
        <f t="shared" si="0"/>
        <v>0</v>
      </c>
      <c r="D28" s="75">
        <v>0</v>
      </c>
      <c r="E28" s="75"/>
      <c r="G28" s="6"/>
      <c r="I28" s="6"/>
      <c r="J28" s="10"/>
      <c r="K28" s="6"/>
    </row>
    <row r="29" spans="2:11" x14ac:dyDescent="0.25">
      <c r="B29" s="12">
        <v>40330</v>
      </c>
      <c r="C29" s="69">
        <f t="shared" si="0"/>
        <v>1.9990089664936288</v>
      </c>
      <c r="D29" s="75">
        <v>211.9</v>
      </c>
      <c r="E29" s="75">
        <v>423.59</v>
      </c>
      <c r="G29" s="6"/>
      <c r="I29" s="6"/>
      <c r="J29" s="10"/>
      <c r="K29" s="6"/>
    </row>
    <row r="30" spans="2:11" x14ac:dyDescent="0.25">
      <c r="B30" s="12">
        <v>40299</v>
      </c>
      <c r="C30" s="69">
        <f t="shared" si="0"/>
        <v>1.7989758595464522</v>
      </c>
      <c r="D30" s="75">
        <v>136.69999999999999</v>
      </c>
      <c r="E30" s="75">
        <v>245.92</v>
      </c>
      <c r="G30" s="6"/>
      <c r="I30" s="6"/>
      <c r="J30" s="10"/>
      <c r="K30" s="6"/>
    </row>
    <row r="31" spans="2:11" x14ac:dyDescent="0.25">
      <c r="B31" s="12">
        <v>40269</v>
      </c>
      <c r="C31" s="69">
        <f t="shared" si="0"/>
        <v>0</v>
      </c>
      <c r="D31" s="75">
        <v>0</v>
      </c>
      <c r="E31" s="75"/>
      <c r="G31" s="6"/>
      <c r="I31" s="6"/>
      <c r="J31" s="10"/>
      <c r="K31" s="6"/>
    </row>
    <row r="32" spans="2:11" x14ac:dyDescent="0.25">
      <c r="B32" s="12">
        <v>40238</v>
      </c>
      <c r="C32" s="69">
        <f t="shared" si="0"/>
        <v>1.7989927604658482</v>
      </c>
      <c r="D32" s="75">
        <v>635.4</v>
      </c>
      <c r="E32" s="75">
        <v>1143.08</v>
      </c>
      <c r="G32" s="6"/>
      <c r="I32" s="6"/>
      <c r="J32" s="10"/>
      <c r="K32" s="6"/>
    </row>
    <row r="33" spans="2:11" x14ac:dyDescent="0.25">
      <c r="B33" s="12">
        <v>40210</v>
      </c>
      <c r="C33" s="69">
        <f t="shared" si="0"/>
        <v>0</v>
      </c>
      <c r="D33" s="75">
        <v>0</v>
      </c>
      <c r="E33" s="75"/>
      <c r="G33" s="6"/>
      <c r="I33" s="6"/>
      <c r="J33" s="10"/>
      <c r="K33" s="6"/>
    </row>
    <row r="34" spans="2:11" x14ac:dyDescent="0.25">
      <c r="B34" s="12">
        <v>40179</v>
      </c>
      <c r="C34" s="69">
        <f t="shared" si="0"/>
        <v>1.799000526038927</v>
      </c>
      <c r="D34" s="75">
        <v>760.4</v>
      </c>
      <c r="E34" s="75">
        <v>1367.96</v>
      </c>
      <c r="G34" s="6"/>
      <c r="I34" s="6"/>
      <c r="J34" s="10"/>
      <c r="K34" s="6"/>
    </row>
    <row r="35" spans="2:11" x14ac:dyDescent="0.25">
      <c r="B35" s="12">
        <v>40148</v>
      </c>
      <c r="C35" s="69">
        <f t="shared" si="0"/>
        <v>1.7990054754721199</v>
      </c>
      <c r="D35" s="75">
        <v>894.9</v>
      </c>
      <c r="E35" s="75">
        <v>1609.93</v>
      </c>
      <c r="G35" s="6"/>
      <c r="I35" s="6"/>
      <c r="J35" s="10"/>
      <c r="K35" s="6"/>
    </row>
    <row r="36" spans="2:11" x14ac:dyDescent="0.25">
      <c r="B36" s="12">
        <v>40118</v>
      </c>
      <c r="C36" s="69">
        <f t="shared" si="0"/>
        <v>1.7990000000000002</v>
      </c>
      <c r="D36" s="75">
        <v>400</v>
      </c>
      <c r="E36" s="75">
        <v>719.6</v>
      </c>
      <c r="G36" s="6"/>
      <c r="I36" s="6"/>
      <c r="J36" s="10"/>
      <c r="K36" s="6"/>
    </row>
    <row r="37" spans="2:11" x14ac:dyDescent="0.25">
      <c r="B37" s="12">
        <v>40087</v>
      </c>
      <c r="C37" s="69">
        <f t="shared" si="0"/>
        <v>0</v>
      </c>
      <c r="D37" s="75">
        <v>0</v>
      </c>
      <c r="E37" s="75"/>
      <c r="G37" s="6"/>
      <c r="I37" s="6"/>
      <c r="J37" s="10"/>
      <c r="K37" s="6"/>
    </row>
    <row r="38" spans="2:11" x14ac:dyDescent="0.25">
      <c r="B38" s="12">
        <v>40057</v>
      </c>
      <c r="C38" s="69">
        <f t="shared" si="0"/>
        <v>0</v>
      </c>
      <c r="D38" s="75">
        <v>0</v>
      </c>
      <c r="E38" s="75"/>
      <c r="G38" s="6"/>
      <c r="I38" s="6"/>
      <c r="J38" s="10"/>
      <c r="K38" s="6"/>
    </row>
    <row r="39" spans="2:11" x14ac:dyDescent="0.25">
      <c r="B39" s="12">
        <v>40026</v>
      </c>
      <c r="C39" s="69">
        <f t="shared" si="0"/>
        <v>1.6989964157706092</v>
      </c>
      <c r="D39" s="75">
        <v>418.5</v>
      </c>
      <c r="E39" s="75">
        <v>711.03</v>
      </c>
      <c r="G39" s="6"/>
      <c r="I39" s="6"/>
      <c r="J39" s="10"/>
      <c r="K39" s="6"/>
    </row>
    <row r="40" spans="2:11" x14ac:dyDescent="0.25">
      <c r="B40" s="12">
        <v>39995</v>
      </c>
      <c r="C40" s="69">
        <f t="shared" si="0"/>
        <v>0</v>
      </c>
      <c r="D40" s="75">
        <v>0</v>
      </c>
      <c r="E40" s="75"/>
      <c r="G40" s="6"/>
      <c r="I40" s="6"/>
      <c r="J40" s="10"/>
    </row>
    <row r="41" spans="2:11" x14ac:dyDescent="0.25">
      <c r="B41" s="12">
        <v>39965</v>
      </c>
      <c r="C41" s="69">
        <f t="shared" si="0"/>
        <v>1.6990133672819863</v>
      </c>
      <c r="D41" s="75">
        <v>314.2</v>
      </c>
      <c r="E41" s="75">
        <v>533.83000000000004</v>
      </c>
      <c r="G41" s="6"/>
      <c r="I41" s="6"/>
      <c r="J41" s="10"/>
    </row>
    <row r="42" spans="2:11" x14ac:dyDescent="0.25">
      <c r="B42" s="12">
        <v>39934</v>
      </c>
      <c r="C42" s="69">
        <f t="shared" si="0"/>
        <v>0</v>
      </c>
      <c r="D42" s="75">
        <v>0</v>
      </c>
      <c r="E42" s="75"/>
      <c r="G42" s="6"/>
      <c r="I42" s="6"/>
      <c r="J42" s="10"/>
    </row>
    <row r="43" spans="2:11" x14ac:dyDescent="0.25">
      <c r="B43" s="12">
        <v>39904</v>
      </c>
      <c r="C43" s="69">
        <f t="shared" si="0"/>
        <v>0</v>
      </c>
      <c r="D43" s="75">
        <v>0</v>
      </c>
      <c r="E43" s="75"/>
      <c r="G43" s="6"/>
      <c r="I43" s="6"/>
      <c r="J43" s="10"/>
    </row>
    <row r="44" spans="2:11" x14ac:dyDescent="0.25">
      <c r="B44" s="12">
        <v>39873</v>
      </c>
      <c r="C44" s="69">
        <f t="shared" si="0"/>
        <v>1.9989882638607852</v>
      </c>
      <c r="D44" s="75">
        <v>247.1</v>
      </c>
      <c r="E44" s="75">
        <v>493.95</v>
      </c>
      <c r="G44" s="6"/>
      <c r="I44" s="6"/>
      <c r="J44" s="10"/>
    </row>
    <row r="45" spans="2:11" x14ac:dyDescent="0.25">
      <c r="B45" s="12">
        <v>39845</v>
      </c>
      <c r="C45" s="69">
        <f t="shared" si="0"/>
        <v>2.3105427697219634</v>
      </c>
      <c r="D45" s="75">
        <f>708.3+795.1</f>
        <v>1503.4</v>
      </c>
      <c r="E45" s="75">
        <f>1486.72+1986.95</f>
        <v>3473.67</v>
      </c>
      <c r="G45" s="6"/>
      <c r="I45" s="6"/>
      <c r="J45" s="10"/>
    </row>
    <row r="46" spans="2:11" x14ac:dyDescent="0.25">
      <c r="B46" s="12">
        <v>39814</v>
      </c>
      <c r="C46" s="69">
        <f t="shared" si="0"/>
        <v>2.4990023693727399</v>
      </c>
      <c r="D46" s="75">
        <v>801.9</v>
      </c>
      <c r="E46" s="75">
        <v>2003.95</v>
      </c>
      <c r="G46" s="6"/>
      <c r="I46" s="6"/>
      <c r="J46" s="10"/>
    </row>
    <row r="47" spans="2:11" x14ac:dyDescent="0.25">
      <c r="B47" s="12">
        <v>39783</v>
      </c>
      <c r="C47" s="69">
        <f t="shared" si="0"/>
        <v>2.49900390625</v>
      </c>
      <c r="D47" s="75">
        <v>512</v>
      </c>
      <c r="E47" s="75">
        <v>1279.49</v>
      </c>
      <c r="G47" s="6"/>
      <c r="I47" s="6"/>
      <c r="J47" s="10"/>
    </row>
    <row r="48" spans="2:11" x14ac:dyDescent="0.25">
      <c r="B48" s="12">
        <v>39753</v>
      </c>
      <c r="C48" s="69">
        <f t="shared" si="0"/>
        <v>2.4990029224686263</v>
      </c>
      <c r="D48" s="75">
        <v>581.70000000000005</v>
      </c>
      <c r="E48" s="75">
        <v>1453.67</v>
      </c>
      <c r="G48" s="6"/>
      <c r="I48" s="6"/>
      <c r="J48" s="10"/>
    </row>
    <row r="49" spans="2:10" x14ac:dyDescent="0.25">
      <c r="B49" s="12">
        <v>39722</v>
      </c>
      <c r="C49" s="69">
        <f t="shared" si="0"/>
        <v>0</v>
      </c>
      <c r="D49" s="75">
        <v>0</v>
      </c>
      <c r="E49" s="75"/>
      <c r="G49" s="6"/>
      <c r="I49" s="6"/>
      <c r="J49" s="10"/>
    </row>
    <row r="50" spans="2:10" x14ac:dyDescent="0.25">
      <c r="B50" s="12">
        <v>39692</v>
      </c>
      <c r="C50" s="69">
        <f t="shared" si="0"/>
        <v>0</v>
      </c>
      <c r="D50" s="75">
        <v>0</v>
      </c>
      <c r="E50" s="75"/>
      <c r="G50" s="6"/>
      <c r="I50" s="6"/>
      <c r="J50" s="10"/>
    </row>
    <row r="51" spans="2:10" x14ac:dyDescent="0.25">
      <c r="B51" s="12">
        <v>39661</v>
      </c>
      <c r="C51" s="69">
        <f t="shared" si="0"/>
        <v>2.498995511861509</v>
      </c>
      <c r="D51" s="75">
        <v>467.9</v>
      </c>
      <c r="E51" s="75">
        <v>1169.28</v>
      </c>
      <c r="G51" s="6"/>
      <c r="I51" s="6"/>
      <c r="J51" s="10"/>
    </row>
    <row r="52" spans="2:10" x14ac:dyDescent="0.25">
      <c r="B52" s="12">
        <v>39630</v>
      </c>
      <c r="C52" s="69">
        <f t="shared" si="0"/>
        <v>0</v>
      </c>
      <c r="D52" s="75">
        <v>0</v>
      </c>
      <c r="E52" s="75"/>
      <c r="G52" s="6"/>
      <c r="I52" s="6"/>
      <c r="J52" s="10"/>
    </row>
    <row r="53" spans="2:10" x14ac:dyDescent="0.25">
      <c r="B53" s="12">
        <v>39600</v>
      </c>
      <c r="C53" s="69">
        <f t="shared" si="0"/>
        <v>2.4990058279053824</v>
      </c>
      <c r="D53" s="75">
        <v>291.7</v>
      </c>
      <c r="E53" s="75">
        <v>728.96</v>
      </c>
      <c r="G53" s="6"/>
      <c r="I53" s="6"/>
      <c r="J53" s="10"/>
    </row>
    <row r="54" spans="2:10" x14ac:dyDescent="0.25">
      <c r="B54" s="12">
        <v>39569</v>
      </c>
      <c r="C54" s="69">
        <f t="shared" si="0"/>
        <v>1.9990047393364929</v>
      </c>
      <c r="D54" s="75">
        <v>422</v>
      </c>
      <c r="E54" s="75">
        <v>843.58</v>
      </c>
      <c r="G54" s="6"/>
      <c r="I54" s="6"/>
      <c r="J54" s="10"/>
    </row>
    <row r="55" spans="2:10" x14ac:dyDescent="0.25">
      <c r="B55" s="12">
        <v>39539</v>
      </c>
      <c r="C55" s="69">
        <f t="shared" si="0"/>
        <v>0</v>
      </c>
      <c r="D55" s="75">
        <v>0</v>
      </c>
      <c r="E55" s="75"/>
      <c r="G55" s="6"/>
      <c r="I55" s="6"/>
      <c r="J55" s="10"/>
    </row>
    <row r="56" spans="2:10" x14ac:dyDescent="0.25">
      <c r="B56" s="12">
        <v>39508</v>
      </c>
      <c r="C56" s="69">
        <f t="shared" si="0"/>
        <v>1.9990055865921788</v>
      </c>
      <c r="D56" s="75">
        <v>895</v>
      </c>
      <c r="E56" s="75">
        <v>1789.11</v>
      </c>
      <c r="G56" s="6"/>
      <c r="I56" s="6"/>
      <c r="J56" s="10"/>
    </row>
    <row r="57" spans="2:10" x14ac:dyDescent="0.25">
      <c r="B57" s="12">
        <v>39479</v>
      </c>
      <c r="C57" s="69">
        <f t="shared" si="0"/>
        <v>1.9989949748743718</v>
      </c>
      <c r="D57" s="75">
        <v>199</v>
      </c>
      <c r="E57" s="75">
        <v>397.8</v>
      </c>
      <c r="G57" s="6"/>
      <c r="I57" s="6"/>
      <c r="J57" s="10"/>
    </row>
    <row r="58" spans="2:10" x14ac:dyDescent="0.25">
      <c r="B58" s="12">
        <v>39448</v>
      </c>
      <c r="C58" s="69">
        <f t="shared" si="0"/>
        <v>1.9989943074003795</v>
      </c>
      <c r="D58" s="75">
        <v>527</v>
      </c>
      <c r="E58" s="75">
        <v>1053.47</v>
      </c>
      <c r="G58" s="6"/>
      <c r="I58" s="6"/>
      <c r="J58" s="10"/>
    </row>
    <row r="59" spans="2:10" x14ac:dyDescent="0.25">
      <c r="B59" s="12">
        <v>39417</v>
      </c>
      <c r="C59" s="69">
        <f t="shared" si="0"/>
        <v>1.7489980353634578</v>
      </c>
      <c r="D59" s="75">
        <v>1018</v>
      </c>
      <c r="E59" s="75">
        <v>1780.48</v>
      </c>
      <c r="G59" s="6"/>
      <c r="I59" s="6"/>
      <c r="J59" s="10"/>
    </row>
    <row r="60" spans="2:10" x14ac:dyDescent="0.25">
      <c r="B60" s="12">
        <v>39387</v>
      </c>
      <c r="C60" s="69">
        <f t="shared" si="0"/>
        <v>0</v>
      </c>
      <c r="D60" s="75">
        <v>0</v>
      </c>
      <c r="E60" s="75"/>
      <c r="G60" s="6"/>
      <c r="I60" s="6"/>
      <c r="J60" s="10"/>
    </row>
    <row r="61" spans="2:10" x14ac:dyDescent="0.25">
      <c r="B61" s="12">
        <v>39356</v>
      </c>
      <c r="C61" s="69">
        <f t="shared" si="0"/>
        <v>1.7490232558139536</v>
      </c>
      <c r="D61" s="75">
        <v>215</v>
      </c>
      <c r="E61" s="75">
        <v>376.04</v>
      </c>
      <c r="G61" s="6"/>
      <c r="I61" s="6"/>
      <c r="J61" s="10"/>
    </row>
    <row r="62" spans="2:10" x14ac:dyDescent="0.25">
      <c r="B62" s="12">
        <v>39326</v>
      </c>
      <c r="C62" s="69">
        <f t="shared" si="0"/>
        <v>0</v>
      </c>
      <c r="D62" s="75">
        <v>0</v>
      </c>
      <c r="E62" s="75"/>
      <c r="G62" s="6"/>
      <c r="I62" s="6"/>
      <c r="J62" s="10"/>
    </row>
    <row r="63" spans="2:10" x14ac:dyDescent="0.25">
      <c r="B63" s="12">
        <v>39295</v>
      </c>
      <c r="C63" s="69">
        <f t="shared" si="0"/>
        <v>1.7490106951871658</v>
      </c>
      <c r="D63" s="75">
        <v>374</v>
      </c>
      <c r="E63" s="75">
        <v>654.13</v>
      </c>
      <c r="G63" s="6"/>
      <c r="I63" s="6"/>
      <c r="J63" s="10"/>
    </row>
    <row r="64" spans="2:10" x14ac:dyDescent="0.25">
      <c r="B64" s="12">
        <v>39264</v>
      </c>
      <c r="C64" s="69">
        <f t="shared" si="0"/>
        <v>1.7489928057553958</v>
      </c>
      <c r="D64" s="75">
        <v>556</v>
      </c>
      <c r="E64" s="75">
        <v>972.44</v>
      </c>
      <c r="G64" s="6"/>
      <c r="I64" s="6"/>
      <c r="J64" s="10"/>
    </row>
    <row r="65" spans="2:10" x14ac:dyDescent="0.25">
      <c r="B65" s="12">
        <v>39234</v>
      </c>
      <c r="C65" s="69">
        <f t="shared" si="0"/>
        <v>0</v>
      </c>
      <c r="D65" s="75">
        <v>0</v>
      </c>
      <c r="E65" s="75"/>
      <c r="G65" s="6"/>
      <c r="I65" s="6"/>
      <c r="J65" s="10"/>
    </row>
    <row r="66" spans="2:10" x14ac:dyDescent="0.25">
      <c r="B66" s="12">
        <v>39203</v>
      </c>
      <c r="C66" s="69">
        <f t="shared" si="0"/>
        <v>0</v>
      </c>
      <c r="D66" s="75">
        <v>0</v>
      </c>
      <c r="E66" s="75"/>
      <c r="G66" s="6"/>
      <c r="I66" s="6"/>
      <c r="J66" s="10"/>
    </row>
    <row r="67" spans="2:10" x14ac:dyDescent="0.25">
      <c r="B67" s="24">
        <v>39173</v>
      </c>
      <c r="C67" s="69">
        <f t="shared" si="0"/>
        <v>1.6490069686411148</v>
      </c>
      <c r="D67" s="75">
        <v>574</v>
      </c>
      <c r="E67" s="75">
        <v>946.53</v>
      </c>
      <c r="G67" s="6"/>
      <c r="I67" s="6"/>
      <c r="J67" s="7"/>
    </row>
    <row r="68" spans="2:10" x14ac:dyDescent="0.25">
      <c r="B68" s="12">
        <v>39142</v>
      </c>
      <c r="C68" s="69">
        <f t="shared" si="0"/>
        <v>0</v>
      </c>
      <c r="D68" s="75">
        <v>0</v>
      </c>
      <c r="E68" s="75"/>
      <c r="G68" s="6"/>
      <c r="I68" s="6"/>
      <c r="J68" s="10"/>
    </row>
    <row r="69" spans="2:10" x14ac:dyDescent="0.25">
      <c r="B69" s="12">
        <v>39114</v>
      </c>
      <c r="C69" s="69">
        <f t="shared" ref="C69:C70" si="1">IF(E69&gt;0,E69/D69,0)</f>
        <v>0</v>
      </c>
      <c r="D69" s="75">
        <v>0</v>
      </c>
      <c r="E69" s="75"/>
      <c r="G69" s="6"/>
      <c r="I69" s="6"/>
      <c r="J69" s="10"/>
    </row>
    <row r="70" spans="2:10" x14ac:dyDescent="0.25">
      <c r="B70" s="12">
        <v>39083</v>
      </c>
      <c r="C70" s="69">
        <f t="shared" si="1"/>
        <v>0</v>
      </c>
      <c r="D70" s="75">
        <v>0</v>
      </c>
      <c r="E70" s="75"/>
      <c r="G70" s="6"/>
      <c r="I70" s="6"/>
      <c r="J70" s="10"/>
    </row>
    <row r="72" spans="2:10" x14ac:dyDescent="0.25">
      <c r="B72" s="10" t="s">
        <v>6</v>
      </c>
      <c r="D72" s="28">
        <f>SUM(D4:D70)</f>
        <v>20096.300000000003</v>
      </c>
      <c r="E72" s="3">
        <f>SUM(E4:E70)</f>
        <v>41555.920000000013</v>
      </c>
    </row>
  </sheetData>
  <hyperlinks>
    <hyperlink ref="A1" location="a632404791" display="a632404791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.140625" bestFit="1" customWidth="1"/>
    <col min="3" max="4" width="9.28515625" bestFit="1" customWidth="1"/>
    <col min="5" max="5" width="10.5703125" bestFit="1" customWidth="1"/>
    <col min="10" max="10" width="20.140625" bestFit="1" customWidth="1"/>
  </cols>
  <sheetData>
    <row r="1" spans="1:5" x14ac:dyDescent="0.25">
      <c r="A1" s="5">
        <f>Summary!B18</f>
        <v>30508</v>
      </c>
      <c r="B1" s="2" t="str">
        <f>Summary!C18</f>
        <v>No name given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12">
        <v>41091</v>
      </c>
      <c r="C4" s="69">
        <f>IF(E4&gt;0,E4/D4,0)</f>
        <v>0</v>
      </c>
      <c r="D4" s="57">
        <v>0</v>
      </c>
      <c r="E4" s="72"/>
    </row>
    <row r="5" spans="1:5" x14ac:dyDescent="0.25">
      <c r="B5" s="12">
        <v>41061</v>
      </c>
      <c r="C5" s="69">
        <f t="shared" ref="C5:C68" si="0">IF(E5&gt;0,E5/D5,0)</f>
        <v>0</v>
      </c>
      <c r="D5" s="57">
        <v>0</v>
      </c>
      <c r="E5" s="72"/>
    </row>
    <row r="6" spans="1:5" x14ac:dyDescent="0.25">
      <c r="B6" s="12">
        <v>41030</v>
      </c>
      <c r="C6" s="69">
        <f t="shared" si="0"/>
        <v>0</v>
      </c>
      <c r="D6" s="57">
        <v>0</v>
      </c>
      <c r="E6" s="72"/>
    </row>
    <row r="7" spans="1:5" x14ac:dyDescent="0.25">
      <c r="B7" s="12">
        <v>41000</v>
      </c>
      <c r="C7" s="69">
        <f t="shared" si="0"/>
        <v>0</v>
      </c>
      <c r="D7" s="57">
        <v>0</v>
      </c>
      <c r="E7" s="72"/>
    </row>
    <row r="8" spans="1:5" x14ac:dyDescent="0.25">
      <c r="B8" s="12">
        <v>40969</v>
      </c>
      <c r="C8" s="69">
        <f t="shared" si="0"/>
        <v>0</v>
      </c>
      <c r="D8" s="57">
        <v>0</v>
      </c>
      <c r="E8" s="72"/>
    </row>
    <row r="9" spans="1:5" x14ac:dyDescent="0.25">
      <c r="B9" s="12">
        <v>40940</v>
      </c>
      <c r="C9" s="69">
        <f t="shared" si="0"/>
        <v>0</v>
      </c>
      <c r="D9" s="57">
        <v>0</v>
      </c>
      <c r="E9" s="72"/>
    </row>
    <row r="10" spans="1:5" x14ac:dyDescent="0.25">
      <c r="B10" s="12">
        <v>40909</v>
      </c>
      <c r="C10" s="69">
        <f t="shared" si="0"/>
        <v>0</v>
      </c>
      <c r="D10" s="57">
        <v>0</v>
      </c>
      <c r="E10" s="72"/>
    </row>
    <row r="11" spans="1:5" x14ac:dyDescent="0.25">
      <c r="B11" s="12">
        <v>40878</v>
      </c>
      <c r="C11" s="69">
        <f t="shared" si="0"/>
        <v>0</v>
      </c>
      <c r="D11" s="57">
        <v>0</v>
      </c>
      <c r="E11" s="72"/>
    </row>
    <row r="12" spans="1:5" x14ac:dyDescent="0.25">
      <c r="B12" s="12">
        <v>40848</v>
      </c>
      <c r="C12" s="69">
        <f t="shared" si="0"/>
        <v>0</v>
      </c>
      <c r="D12" s="57">
        <v>0</v>
      </c>
      <c r="E12" s="72"/>
    </row>
    <row r="13" spans="1:5" x14ac:dyDescent="0.25">
      <c r="B13" s="12">
        <v>40817</v>
      </c>
      <c r="C13" s="69">
        <f t="shared" si="0"/>
        <v>0</v>
      </c>
      <c r="D13" s="57">
        <v>0</v>
      </c>
      <c r="E13" s="72"/>
    </row>
    <row r="14" spans="1:5" x14ac:dyDescent="0.25">
      <c r="B14" s="12">
        <v>40787</v>
      </c>
      <c r="C14" s="69">
        <f t="shared" si="0"/>
        <v>0</v>
      </c>
      <c r="D14" s="57">
        <v>0</v>
      </c>
      <c r="E14" s="72"/>
    </row>
    <row r="15" spans="1:5" x14ac:dyDescent="0.25">
      <c r="B15" s="12">
        <v>40756</v>
      </c>
      <c r="C15" s="69">
        <f t="shared" si="0"/>
        <v>1.9990182328190744</v>
      </c>
      <c r="D15" s="57">
        <v>71.3</v>
      </c>
      <c r="E15" s="72">
        <v>142.53</v>
      </c>
    </row>
    <row r="16" spans="1:5" x14ac:dyDescent="0.25">
      <c r="B16" s="12">
        <v>40725</v>
      </c>
      <c r="C16" s="69">
        <f t="shared" si="0"/>
        <v>0</v>
      </c>
      <c r="D16" s="57">
        <v>0</v>
      </c>
      <c r="E16" s="72"/>
    </row>
    <row r="17" spans="2:11" x14ac:dyDescent="0.25">
      <c r="B17" s="12">
        <v>40695</v>
      </c>
      <c r="C17" s="69">
        <f t="shared" si="0"/>
        <v>0</v>
      </c>
      <c r="D17" s="57">
        <v>0</v>
      </c>
      <c r="E17" s="72"/>
    </row>
    <row r="18" spans="2:11" x14ac:dyDescent="0.25">
      <c r="B18" s="12">
        <v>40664</v>
      </c>
      <c r="C18" s="69">
        <f t="shared" si="0"/>
        <v>1.9990042674253201</v>
      </c>
      <c r="D18" s="57">
        <v>281.2</v>
      </c>
      <c r="E18" s="72">
        <v>562.12</v>
      </c>
    </row>
    <row r="19" spans="2:11" x14ac:dyDescent="0.25">
      <c r="B19" s="12">
        <v>40634</v>
      </c>
      <c r="C19" s="69">
        <f t="shared" si="0"/>
        <v>1.9990476190476192</v>
      </c>
      <c r="D19" s="57">
        <v>105</v>
      </c>
      <c r="E19" s="72">
        <v>209.9</v>
      </c>
    </row>
    <row r="20" spans="2:11" x14ac:dyDescent="0.25">
      <c r="B20" s="12">
        <v>40603</v>
      </c>
      <c r="C20" s="69">
        <f t="shared" si="0"/>
        <v>0</v>
      </c>
      <c r="D20" s="57">
        <v>0</v>
      </c>
      <c r="E20" s="72"/>
      <c r="G20" s="6"/>
      <c r="I20" s="6"/>
      <c r="J20" s="7"/>
      <c r="K20" s="6"/>
    </row>
    <row r="21" spans="2:11" x14ac:dyDescent="0.25">
      <c r="B21" s="12">
        <v>40575</v>
      </c>
      <c r="C21" s="69">
        <f t="shared" si="0"/>
        <v>0</v>
      </c>
      <c r="D21" s="72">
        <v>0</v>
      </c>
      <c r="E21" s="72"/>
      <c r="G21" s="6"/>
      <c r="I21" s="6"/>
      <c r="J21" s="7"/>
      <c r="K21" s="6"/>
    </row>
    <row r="22" spans="2:11" x14ac:dyDescent="0.25">
      <c r="B22" s="12">
        <v>40544</v>
      </c>
      <c r="C22" s="69">
        <f t="shared" si="0"/>
        <v>0</v>
      </c>
      <c r="D22" s="72">
        <v>0</v>
      </c>
      <c r="E22" s="72"/>
      <c r="G22" s="6"/>
      <c r="I22" s="6"/>
      <c r="J22" s="7"/>
      <c r="K22" s="6"/>
    </row>
    <row r="23" spans="2:11" x14ac:dyDescent="0.25">
      <c r="B23" s="12">
        <v>40513</v>
      </c>
      <c r="C23" s="69">
        <f t="shared" si="0"/>
        <v>0</v>
      </c>
      <c r="D23" s="72">
        <v>0</v>
      </c>
      <c r="E23" s="72"/>
      <c r="G23" s="6"/>
      <c r="I23" s="6"/>
      <c r="J23" s="7"/>
      <c r="K23" s="6"/>
    </row>
    <row r="24" spans="2:11" x14ac:dyDescent="0.25">
      <c r="B24" s="12">
        <v>40483</v>
      </c>
      <c r="C24" s="69">
        <f t="shared" si="0"/>
        <v>0</v>
      </c>
      <c r="D24" s="72">
        <v>0</v>
      </c>
      <c r="E24" s="72"/>
      <c r="G24" s="6"/>
      <c r="I24" s="6"/>
      <c r="J24" s="7"/>
      <c r="K24" s="6"/>
    </row>
    <row r="25" spans="2:11" x14ac:dyDescent="0.25">
      <c r="B25" s="12">
        <v>40452</v>
      </c>
      <c r="C25" s="69">
        <f t="shared" si="0"/>
        <v>0</v>
      </c>
      <c r="D25" s="72">
        <v>0</v>
      </c>
      <c r="E25" s="72"/>
      <c r="G25" s="6"/>
      <c r="I25" s="6"/>
      <c r="J25" s="7"/>
      <c r="K25" s="6"/>
    </row>
    <row r="26" spans="2:11" x14ac:dyDescent="0.25">
      <c r="B26" s="12">
        <v>40422</v>
      </c>
      <c r="C26" s="69">
        <f t="shared" si="0"/>
        <v>0</v>
      </c>
      <c r="D26" s="72">
        <v>0</v>
      </c>
      <c r="E26" s="72"/>
      <c r="G26" s="6"/>
      <c r="I26" s="6"/>
      <c r="J26" s="7"/>
      <c r="K26" s="6"/>
    </row>
    <row r="27" spans="2:11" x14ac:dyDescent="0.25">
      <c r="B27" s="12">
        <v>40391</v>
      </c>
      <c r="C27" s="69">
        <f t="shared" si="0"/>
        <v>0</v>
      </c>
      <c r="D27" s="72">
        <v>0</v>
      </c>
      <c r="E27" s="72"/>
      <c r="G27" s="6"/>
      <c r="I27" s="6"/>
      <c r="J27" s="7"/>
      <c r="K27" s="6"/>
    </row>
    <row r="28" spans="2:11" x14ac:dyDescent="0.25">
      <c r="B28" s="12">
        <v>40360</v>
      </c>
      <c r="C28" s="69">
        <f t="shared" si="0"/>
        <v>0</v>
      </c>
      <c r="D28" s="72">
        <v>0</v>
      </c>
      <c r="E28" s="72"/>
      <c r="G28" s="6"/>
      <c r="I28" s="6"/>
      <c r="J28" s="7"/>
      <c r="K28" s="6"/>
    </row>
    <row r="29" spans="2:11" x14ac:dyDescent="0.25">
      <c r="B29" s="12">
        <v>40330</v>
      </c>
      <c r="C29" s="69">
        <f t="shared" si="0"/>
        <v>0</v>
      </c>
      <c r="D29" s="72">
        <v>0</v>
      </c>
      <c r="E29" s="72"/>
      <c r="G29" s="6"/>
      <c r="I29" s="6"/>
      <c r="J29" s="7"/>
      <c r="K29" s="6"/>
    </row>
    <row r="30" spans="2:11" x14ac:dyDescent="0.25">
      <c r="B30" s="12">
        <v>40299</v>
      </c>
      <c r="C30" s="69">
        <f t="shared" si="0"/>
        <v>0</v>
      </c>
      <c r="D30" s="72">
        <v>0</v>
      </c>
      <c r="E30" s="72"/>
      <c r="G30" s="6"/>
      <c r="I30" s="6"/>
      <c r="J30" s="7"/>
      <c r="K30" s="6"/>
    </row>
    <row r="31" spans="2:11" x14ac:dyDescent="0.25">
      <c r="B31" s="12">
        <v>40269</v>
      </c>
      <c r="C31" s="69">
        <f t="shared" si="0"/>
        <v>0</v>
      </c>
      <c r="D31" s="72">
        <v>0</v>
      </c>
      <c r="E31" s="72"/>
      <c r="G31" s="6"/>
      <c r="I31" s="6"/>
      <c r="J31" s="7"/>
      <c r="K31" s="6"/>
    </row>
    <row r="32" spans="2:11" x14ac:dyDescent="0.25">
      <c r="B32" s="12">
        <v>40238</v>
      </c>
      <c r="C32" s="69">
        <f t="shared" si="0"/>
        <v>0</v>
      </c>
      <c r="D32" s="72">
        <v>0</v>
      </c>
      <c r="E32" s="72"/>
      <c r="G32" s="6"/>
      <c r="I32" s="6"/>
      <c r="J32" s="7"/>
    </row>
    <row r="33" spans="2:11" x14ac:dyDescent="0.25">
      <c r="B33" s="12">
        <v>40210</v>
      </c>
      <c r="C33" s="69">
        <f t="shared" si="0"/>
        <v>0</v>
      </c>
      <c r="D33" s="72">
        <v>0</v>
      </c>
      <c r="E33" s="72"/>
      <c r="G33" s="6"/>
      <c r="I33" s="6"/>
      <c r="J33" s="7"/>
    </row>
    <row r="34" spans="2:11" x14ac:dyDescent="0.25">
      <c r="B34" s="12">
        <v>40179</v>
      </c>
      <c r="C34" s="69">
        <f t="shared" si="0"/>
        <v>0</v>
      </c>
      <c r="D34" s="72">
        <v>0</v>
      </c>
      <c r="E34" s="72"/>
      <c r="G34" s="6"/>
      <c r="I34" s="6"/>
      <c r="J34" s="7"/>
      <c r="K34" s="6"/>
    </row>
    <row r="35" spans="2:11" x14ac:dyDescent="0.25">
      <c r="B35" s="12">
        <v>40148</v>
      </c>
      <c r="C35" s="69">
        <f t="shared" si="0"/>
        <v>0</v>
      </c>
      <c r="D35" s="72">
        <v>0</v>
      </c>
      <c r="E35" s="72"/>
      <c r="G35" s="6"/>
      <c r="I35" s="6"/>
      <c r="J35" s="7"/>
      <c r="K35" s="6"/>
    </row>
    <row r="36" spans="2:11" x14ac:dyDescent="0.25">
      <c r="B36" s="12">
        <v>40118</v>
      </c>
      <c r="C36" s="69">
        <f t="shared" si="0"/>
        <v>0</v>
      </c>
      <c r="D36" s="72">
        <v>0</v>
      </c>
      <c r="E36" s="72"/>
      <c r="G36" s="6"/>
      <c r="I36" s="6"/>
      <c r="J36" s="7"/>
      <c r="K36" s="6"/>
    </row>
    <row r="37" spans="2:11" x14ac:dyDescent="0.25">
      <c r="B37" s="12">
        <v>40087</v>
      </c>
      <c r="C37" s="69">
        <f t="shared" si="0"/>
        <v>0</v>
      </c>
      <c r="D37" s="72">
        <v>0</v>
      </c>
      <c r="E37" s="72"/>
      <c r="G37" s="6"/>
      <c r="I37" s="6"/>
      <c r="J37" s="7"/>
      <c r="K37" s="6"/>
    </row>
    <row r="38" spans="2:11" x14ac:dyDescent="0.25">
      <c r="B38" s="12">
        <v>40057</v>
      </c>
      <c r="C38" s="69">
        <f t="shared" si="0"/>
        <v>0</v>
      </c>
      <c r="D38" s="72">
        <v>0</v>
      </c>
      <c r="E38" s="72"/>
      <c r="G38" s="6"/>
      <c r="I38" s="6"/>
      <c r="J38" s="7"/>
      <c r="K38" s="6"/>
    </row>
    <row r="39" spans="2:11" x14ac:dyDescent="0.25">
      <c r="B39" s="12">
        <v>40026</v>
      </c>
      <c r="C39" s="69">
        <f t="shared" si="0"/>
        <v>0</v>
      </c>
      <c r="D39" s="72">
        <v>0</v>
      </c>
      <c r="E39" s="72"/>
      <c r="G39" s="6"/>
      <c r="I39" s="6"/>
      <c r="J39" s="7"/>
      <c r="K39" s="6"/>
    </row>
    <row r="40" spans="2:11" x14ac:dyDescent="0.25">
      <c r="B40" s="12">
        <v>39995</v>
      </c>
      <c r="C40" s="69">
        <f t="shared" si="0"/>
        <v>0</v>
      </c>
      <c r="D40" s="72">
        <v>0</v>
      </c>
      <c r="E40" s="72"/>
      <c r="G40" s="6"/>
      <c r="I40" s="6"/>
      <c r="J40" s="7"/>
      <c r="K40" s="6"/>
    </row>
    <row r="41" spans="2:11" x14ac:dyDescent="0.25">
      <c r="B41" s="12">
        <v>39965</v>
      </c>
      <c r="C41" s="69">
        <f t="shared" si="0"/>
        <v>0</v>
      </c>
      <c r="D41" s="72">
        <v>0</v>
      </c>
      <c r="E41" s="72"/>
      <c r="G41" s="6"/>
      <c r="I41" s="6"/>
      <c r="J41" s="7"/>
      <c r="K41" s="6"/>
    </row>
    <row r="42" spans="2:11" x14ac:dyDescent="0.25">
      <c r="B42" s="12">
        <v>39934</v>
      </c>
      <c r="C42" s="69">
        <f t="shared" si="0"/>
        <v>0</v>
      </c>
      <c r="D42" s="72">
        <v>0</v>
      </c>
      <c r="E42" s="72"/>
      <c r="G42" s="6"/>
      <c r="I42" s="6"/>
      <c r="J42" s="7"/>
      <c r="K42" s="6"/>
    </row>
    <row r="43" spans="2:11" x14ac:dyDescent="0.25">
      <c r="B43" s="12">
        <v>39904</v>
      </c>
      <c r="C43" s="69">
        <f t="shared" si="0"/>
        <v>0</v>
      </c>
      <c r="D43" s="72">
        <v>0</v>
      </c>
      <c r="E43" s="72"/>
      <c r="G43" s="6"/>
      <c r="I43" s="6"/>
      <c r="J43" s="7"/>
      <c r="K43" s="6"/>
    </row>
    <row r="44" spans="2:11" x14ac:dyDescent="0.25">
      <c r="B44" s="12">
        <v>39873</v>
      </c>
      <c r="C44" s="69">
        <f t="shared" si="0"/>
        <v>0</v>
      </c>
      <c r="D44" s="72">
        <v>0</v>
      </c>
      <c r="E44" s="72"/>
      <c r="G44" s="6"/>
      <c r="I44" s="6"/>
      <c r="J44" s="7"/>
      <c r="K44" s="6"/>
    </row>
    <row r="45" spans="2:11" x14ac:dyDescent="0.25">
      <c r="B45" s="12">
        <v>39845</v>
      </c>
      <c r="C45" s="69">
        <f t="shared" si="0"/>
        <v>0</v>
      </c>
      <c r="D45" s="72">
        <v>0</v>
      </c>
      <c r="E45" s="72"/>
      <c r="G45" s="6"/>
      <c r="I45" s="6"/>
      <c r="J45" s="7"/>
      <c r="K45" s="6"/>
    </row>
    <row r="46" spans="2:11" x14ac:dyDescent="0.25">
      <c r="B46" s="12">
        <v>39814</v>
      </c>
      <c r="C46" s="69">
        <f t="shared" si="0"/>
        <v>0</v>
      </c>
      <c r="D46" s="72">
        <v>0</v>
      </c>
      <c r="E46" s="72"/>
      <c r="G46" s="6"/>
      <c r="I46" s="6"/>
      <c r="J46" s="7"/>
      <c r="K46" s="6"/>
    </row>
    <row r="47" spans="2:11" x14ac:dyDescent="0.25">
      <c r="B47" s="12">
        <v>39783</v>
      </c>
      <c r="C47" s="69">
        <f t="shared" si="0"/>
        <v>0</v>
      </c>
      <c r="D47" s="72">
        <v>0</v>
      </c>
      <c r="E47" s="72"/>
      <c r="G47" s="6"/>
      <c r="I47" s="6"/>
      <c r="J47" s="7"/>
      <c r="K47" s="6"/>
    </row>
    <row r="48" spans="2:11" x14ac:dyDescent="0.25">
      <c r="B48" s="12">
        <v>39753</v>
      </c>
      <c r="C48" s="69">
        <f t="shared" si="0"/>
        <v>0</v>
      </c>
      <c r="D48" s="72">
        <v>0</v>
      </c>
      <c r="E48" s="72"/>
      <c r="G48" s="6"/>
      <c r="I48" s="6"/>
      <c r="J48" s="7"/>
      <c r="K48" s="6"/>
    </row>
    <row r="49" spans="2:11" x14ac:dyDescent="0.25">
      <c r="B49" s="12">
        <v>39722</v>
      </c>
      <c r="C49" s="69">
        <f t="shared" si="0"/>
        <v>0</v>
      </c>
      <c r="D49" s="72">
        <v>0</v>
      </c>
      <c r="E49" s="72"/>
      <c r="G49" s="6"/>
      <c r="I49" s="6"/>
      <c r="J49" s="7"/>
      <c r="K49" s="6"/>
    </row>
    <row r="50" spans="2:11" x14ac:dyDescent="0.25">
      <c r="B50" s="12">
        <v>39692</v>
      </c>
      <c r="C50" s="69">
        <f t="shared" si="0"/>
        <v>0</v>
      </c>
      <c r="D50" s="72">
        <v>0</v>
      </c>
      <c r="E50" s="72"/>
      <c r="G50" s="6"/>
      <c r="I50" s="6"/>
      <c r="J50" s="7"/>
      <c r="K50" s="6"/>
    </row>
    <row r="51" spans="2:11" x14ac:dyDescent="0.25">
      <c r="B51" s="12">
        <v>39661</v>
      </c>
      <c r="C51" s="69">
        <f t="shared" si="0"/>
        <v>0</v>
      </c>
      <c r="D51" s="72">
        <v>0</v>
      </c>
      <c r="E51" s="72"/>
      <c r="G51" s="6"/>
      <c r="I51" s="6"/>
      <c r="J51" s="7"/>
      <c r="K51" s="6"/>
    </row>
    <row r="52" spans="2:11" x14ac:dyDescent="0.25">
      <c r="B52" s="12">
        <v>39630</v>
      </c>
      <c r="C52" s="69">
        <f t="shared" si="0"/>
        <v>0</v>
      </c>
      <c r="D52" s="72">
        <v>0</v>
      </c>
      <c r="E52" s="72"/>
      <c r="G52" s="6"/>
      <c r="I52" s="6"/>
      <c r="J52" s="7"/>
      <c r="K52" s="6"/>
    </row>
    <row r="53" spans="2:11" x14ac:dyDescent="0.25">
      <c r="B53" s="12">
        <v>39600</v>
      </c>
      <c r="C53" s="69">
        <f t="shared" si="0"/>
        <v>0</v>
      </c>
      <c r="D53" s="72">
        <v>0</v>
      </c>
      <c r="E53" s="72"/>
      <c r="G53" s="6"/>
      <c r="I53" s="6"/>
      <c r="J53" s="7"/>
      <c r="K53" s="6"/>
    </row>
    <row r="54" spans="2:11" x14ac:dyDescent="0.25">
      <c r="B54" s="12">
        <v>39569</v>
      </c>
      <c r="C54" s="69">
        <f t="shared" si="0"/>
        <v>0</v>
      </c>
      <c r="D54" s="72">
        <v>0</v>
      </c>
      <c r="E54" s="72"/>
      <c r="G54" s="6"/>
      <c r="I54" s="6"/>
      <c r="J54" s="7"/>
      <c r="K54" s="6"/>
    </row>
    <row r="55" spans="2:11" x14ac:dyDescent="0.25">
      <c r="B55" s="12">
        <v>39539</v>
      </c>
      <c r="C55" s="69">
        <f t="shared" si="0"/>
        <v>0</v>
      </c>
      <c r="D55" s="72">
        <v>0</v>
      </c>
      <c r="E55" s="72"/>
      <c r="G55" s="6"/>
      <c r="I55" s="6"/>
      <c r="J55" s="7"/>
      <c r="K55" s="6"/>
    </row>
    <row r="56" spans="2:11" x14ac:dyDescent="0.25">
      <c r="B56" s="12">
        <v>39508</v>
      </c>
      <c r="C56" s="69">
        <f t="shared" si="0"/>
        <v>0</v>
      </c>
      <c r="D56" s="72">
        <v>0</v>
      </c>
      <c r="E56" s="72"/>
      <c r="G56" s="6"/>
      <c r="I56" s="6"/>
      <c r="J56" s="7"/>
      <c r="K56" s="6"/>
    </row>
    <row r="57" spans="2:11" x14ac:dyDescent="0.25">
      <c r="B57" s="12">
        <v>39479</v>
      </c>
      <c r="C57" s="69">
        <f t="shared" si="0"/>
        <v>0</v>
      </c>
      <c r="D57" s="72">
        <v>0</v>
      </c>
      <c r="E57" s="72"/>
      <c r="G57" s="6"/>
      <c r="I57" s="6"/>
      <c r="J57" s="7"/>
    </row>
    <row r="58" spans="2:11" x14ac:dyDescent="0.25">
      <c r="B58" s="12">
        <v>39448</v>
      </c>
      <c r="C58" s="69">
        <f t="shared" si="0"/>
        <v>0</v>
      </c>
      <c r="D58" s="72">
        <v>0</v>
      </c>
      <c r="E58" s="72"/>
      <c r="G58" s="6"/>
      <c r="I58" s="6"/>
      <c r="J58" s="7"/>
    </row>
    <row r="59" spans="2:11" x14ac:dyDescent="0.25">
      <c r="B59" s="12">
        <v>39417</v>
      </c>
      <c r="C59" s="69">
        <f t="shared" si="0"/>
        <v>0</v>
      </c>
      <c r="D59" s="72">
        <v>0</v>
      </c>
      <c r="E59" s="72"/>
      <c r="G59" s="6"/>
      <c r="I59" s="6"/>
      <c r="J59" s="7"/>
    </row>
    <row r="60" spans="2:11" x14ac:dyDescent="0.25">
      <c r="B60" s="12">
        <v>39387</v>
      </c>
      <c r="C60" s="69">
        <f t="shared" si="0"/>
        <v>0</v>
      </c>
      <c r="D60" s="72">
        <v>0</v>
      </c>
      <c r="E60" s="72"/>
      <c r="G60" s="6"/>
      <c r="I60" s="6"/>
      <c r="J60" s="7"/>
    </row>
    <row r="61" spans="2:11" x14ac:dyDescent="0.25">
      <c r="B61" s="12">
        <v>39356</v>
      </c>
      <c r="C61" s="69">
        <f t="shared" si="0"/>
        <v>0</v>
      </c>
      <c r="D61" s="72">
        <v>0</v>
      </c>
      <c r="E61" s="72"/>
      <c r="G61" s="6"/>
      <c r="I61" s="6"/>
      <c r="J61" s="7"/>
    </row>
    <row r="62" spans="2:11" x14ac:dyDescent="0.25">
      <c r="B62" s="12">
        <v>39326</v>
      </c>
      <c r="C62" s="69">
        <f t="shared" si="0"/>
        <v>0</v>
      </c>
      <c r="D62" s="72">
        <v>0</v>
      </c>
      <c r="E62" s="72"/>
      <c r="G62" s="6"/>
      <c r="I62" s="6"/>
      <c r="J62" s="7"/>
    </row>
    <row r="63" spans="2:11" x14ac:dyDescent="0.25">
      <c r="B63" s="12">
        <v>39295</v>
      </c>
      <c r="C63" s="69">
        <f t="shared" si="0"/>
        <v>0</v>
      </c>
      <c r="D63" s="72">
        <v>0</v>
      </c>
      <c r="E63" s="72"/>
      <c r="G63" s="6"/>
      <c r="I63" s="6"/>
      <c r="J63" s="7"/>
    </row>
    <row r="64" spans="2:11" x14ac:dyDescent="0.25">
      <c r="B64" s="12">
        <v>39264</v>
      </c>
      <c r="C64" s="69">
        <f t="shared" si="0"/>
        <v>0</v>
      </c>
      <c r="D64" s="72">
        <v>0</v>
      </c>
      <c r="E64" s="72"/>
      <c r="G64" s="6"/>
      <c r="I64" s="6"/>
      <c r="J64" s="7"/>
    </row>
    <row r="65" spans="2:10" x14ac:dyDescent="0.25">
      <c r="B65" s="12">
        <v>39234</v>
      </c>
      <c r="C65" s="69">
        <f t="shared" si="0"/>
        <v>0</v>
      </c>
      <c r="D65" s="72">
        <v>0</v>
      </c>
      <c r="E65" s="72"/>
      <c r="G65" s="6"/>
      <c r="I65" s="6"/>
      <c r="J65" s="7"/>
    </row>
    <row r="66" spans="2:10" x14ac:dyDescent="0.25">
      <c r="B66" s="12">
        <v>39203</v>
      </c>
      <c r="C66" s="69">
        <f t="shared" si="0"/>
        <v>0</v>
      </c>
      <c r="D66" s="72">
        <v>0</v>
      </c>
      <c r="E66" s="72"/>
      <c r="G66" s="6"/>
      <c r="I66" s="6"/>
      <c r="J66" s="7"/>
    </row>
    <row r="67" spans="2:10" x14ac:dyDescent="0.25">
      <c r="B67" s="12">
        <v>39173</v>
      </c>
      <c r="C67" s="69">
        <f t="shared" si="0"/>
        <v>0</v>
      </c>
      <c r="D67" s="72">
        <v>0</v>
      </c>
      <c r="E67" s="72"/>
      <c r="G67" s="6"/>
      <c r="I67" s="6"/>
      <c r="J67" s="7"/>
    </row>
    <row r="68" spans="2:10" x14ac:dyDescent="0.25">
      <c r="B68" s="12">
        <v>39142</v>
      </c>
      <c r="C68" s="69">
        <f t="shared" si="0"/>
        <v>0</v>
      </c>
      <c r="D68" s="72">
        <v>0</v>
      </c>
      <c r="E68" s="72"/>
      <c r="G68" s="6"/>
      <c r="I68" s="6"/>
      <c r="J68" s="7"/>
    </row>
    <row r="69" spans="2:10" x14ac:dyDescent="0.25">
      <c r="B69" s="12">
        <v>39114</v>
      </c>
      <c r="C69" s="69">
        <f t="shared" ref="C69:C70" si="1">IF(E69&gt;0,E69/D69,0)</f>
        <v>1.6490099009900989</v>
      </c>
      <c r="D69" s="72">
        <v>303</v>
      </c>
      <c r="E69" s="72">
        <v>499.65</v>
      </c>
      <c r="G69" s="6"/>
      <c r="I69" s="6"/>
      <c r="J69" s="7"/>
    </row>
    <row r="70" spans="2:10" x14ac:dyDescent="0.25">
      <c r="B70" s="12">
        <v>39083</v>
      </c>
      <c r="C70" s="69">
        <f t="shared" si="1"/>
        <v>0</v>
      </c>
      <c r="D70" s="72">
        <v>0</v>
      </c>
      <c r="E70" s="72"/>
    </row>
    <row r="72" spans="2:10" x14ac:dyDescent="0.25">
      <c r="B72" s="10" t="s">
        <v>6</v>
      </c>
      <c r="D72" s="28">
        <f>SUM(D4:D70)</f>
        <v>760.5</v>
      </c>
      <c r="E72" s="3">
        <f>SUM(E4:E70)</f>
        <v>1414.1999999999998</v>
      </c>
    </row>
  </sheetData>
  <hyperlinks>
    <hyperlink ref="A1" location="a31625914" display="a31625914"/>
  </hyperlink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5" max="5" width="10.5703125" bestFit="1" customWidth="1"/>
    <col min="7" max="7" width="14.85546875" customWidth="1"/>
    <col min="9" max="9" width="8" customWidth="1"/>
    <col min="10" max="10" width="13.85546875" bestFit="1" customWidth="1"/>
  </cols>
  <sheetData>
    <row r="1" spans="1:5" x14ac:dyDescent="0.25">
      <c r="A1" s="5">
        <f>Summary!B19</f>
        <v>30509</v>
      </c>
      <c r="B1" s="2" t="str">
        <f>Summary!C19</f>
        <v>No name given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27">
        <v>41091</v>
      </c>
      <c r="C4" s="69">
        <f>IF(E4&gt;0,E4/D4,0)</f>
        <v>0</v>
      </c>
      <c r="D4" s="57">
        <v>0</v>
      </c>
      <c r="E4" s="77"/>
    </row>
    <row r="5" spans="1:5" x14ac:dyDescent="0.25">
      <c r="B5" s="27">
        <v>41061</v>
      </c>
      <c r="C5" s="69">
        <f t="shared" ref="C5:C68" si="0">IF(E5&gt;0,E5/D5,0)</f>
        <v>2.2989818181818182</v>
      </c>
      <c r="D5" s="57">
        <v>137.5</v>
      </c>
      <c r="E5" s="77">
        <v>316.11</v>
      </c>
    </row>
    <row r="6" spans="1:5" x14ac:dyDescent="0.25">
      <c r="B6" s="27">
        <v>41030</v>
      </c>
      <c r="C6" s="69">
        <f t="shared" si="0"/>
        <v>0</v>
      </c>
      <c r="D6" s="57">
        <v>0</v>
      </c>
      <c r="E6" s="77"/>
    </row>
    <row r="7" spans="1:5" x14ac:dyDescent="0.25">
      <c r="B7" s="27">
        <v>41000</v>
      </c>
      <c r="C7" s="69">
        <f t="shared" si="0"/>
        <v>0</v>
      </c>
      <c r="D7" s="57">
        <v>0</v>
      </c>
      <c r="E7" s="77"/>
    </row>
    <row r="8" spans="1:5" x14ac:dyDescent="0.25">
      <c r="B8" s="27">
        <v>40969</v>
      </c>
      <c r="C8" s="69">
        <f t="shared" si="0"/>
        <v>0</v>
      </c>
      <c r="D8" s="57">
        <v>0</v>
      </c>
      <c r="E8" s="77"/>
    </row>
    <row r="9" spans="1:5" x14ac:dyDescent="0.25">
      <c r="B9" s="27">
        <v>40940</v>
      </c>
      <c r="C9" s="69">
        <f t="shared" si="0"/>
        <v>0</v>
      </c>
      <c r="D9" s="77">
        <v>0</v>
      </c>
      <c r="E9" s="77"/>
    </row>
    <row r="10" spans="1:5" x14ac:dyDescent="0.25">
      <c r="B10" s="27">
        <v>40909</v>
      </c>
      <c r="C10" s="69">
        <f t="shared" si="0"/>
        <v>0</v>
      </c>
      <c r="D10" s="77">
        <v>0</v>
      </c>
      <c r="E10" s="77"/>
    </row>
    <row r="11" spans="1:5" x14ac:dyDescent="0.25">
      <c r="B11" s="27">
        <v>40878</v>
      </c>
      <c r="C11" s="69">
        <f t="shared" si="0"/>
        <v>0</v>
      </c>
      <c r="D11" s="77">
        <v>0</v>
      </c>
      <c r="E11" s="77"/>
    </row>
    <row r="12" spans="1:5" x14ac:dyDescent="0.25">
      <c r="B12" s="27">
        <v>40848</v>
      </c>
      <c r="C12" s="69">
        <f t="shared" si="0"/>
        <v>0</v>
      </c>
      <c r="D12" s="77">
        <v>0</v>
      </c>
      <c r="E12" s="77"/>
    </row>
    <row r="13" spans="1:5" x14ac:dyDescent="0.25">
      <c r="B13" s="27">
        <v>40817</v>
      </c>
      <c r="C13" s="69">
        <f t="shared" si="0"/>
        <v>0</v>
      </c>
      <c r="D13" s="77">
        <v>0</v>
      </c>
      <c r="E13" s="77"/>
    </row>
    <row r="14" spans="1:5" x14ac:dyDescent="0.25">
      <c r="B14" s="27">
        <v>40787</v>
      </c>
      <c r="C14" s="69">
        <f t="shared" si="0"/>
        <v>2.2990181268882175</v>
      </c>
      <c r="D14" s="77">
        <v>132.4</v>
      </c>
      <c r="E14" s="77">
        <v>304.39</v>
      </c>
    </row>
    <row r="15" spans="1:5" x14ac:dyDescent="0.25">
      <c r="B15" s="27">
        <v>40756</v>
      </c>
      <c r="C15" s="69">
        <f t="shared" si="0"/>
        <v>1.9989817792068596</v>
      </c>
      <c r="D15" s="77">
        <v>186.6</v>
      </c>
      <c r="E15" s="77">
        <v>373.01</v>
      </c>
    </row>
    <row r="16" spans="1:5" x14ac:dyDescent="0.25">
      <c r="B16" s="27">
        <v>40725</v>
      </c>
      <c r="C16" s="69">
        <f t="shared" si="0"/>
        <v>1.999005568814638</v>
      </c>
      <c r="D16" s="77">
        <v>251.4</v>
      </c>
      <c r="E16" s="77">
        <v>502.55</v>
      </c>
    </row>
    <row r="17" spans="2:11" x14ac:dyDescent="0.25">
      <c r="B17" s="27">
        <v>40695</v>
      </c>
      <c r="C17" s="69">
        <f t="shared" si="0"/>
        <v>0</v>
      </c>
      <c r="D17" s="77">
        <v>0</v>
      </c>
      <c r="E17" s="77"/>
    </row>
    <row r="18" spans="2:11" x14ac:dyDescent="0.25">
      <c r="B18" s="27">
        <v>40664</v>
      </c>
      <c r="C18" s="69">
        <f t="shared" si="0"/>
        <v>0</v>
      </c>
      <c r="D18" s="77">
        <v>0</v>
      </c>
      <c r="E18" s="77"/>
    </row>
    <row r="19" spans="2:11" x14ac:dyDescent="0.25">
      <c r="B19" s="27">
        <v>40634</v>
      </c>
      <c r="C19" s="69">
        <f t="shared" si="0"/>
        <v>0</v>
      </c>
      <c r="D19" s="77">
        <v>0</v>
      </c>
      <c r="E19" s="77"/>
    </row>
    <row r="20" spans="2:11" x14ac:dyDescent="0.25">
      <c r="B20" s="27">
        <v>40603</v>
      </c>
      <c r="C20" s="69">
        <f t="shared" si="0"/>
        <v>0</v>
      </c>
      <c r="D20" s="77">
        <v>0</v>
      </c>
      <c r="E20" s="77"/>
      <c r="G20" s="6"/>
      <c r="I20" s="6"/>
      <c r="J20" s="7"/>
      <c r="K20" s="6"/>
    </row>
    <row r="21" spans="2:11" x14ac:dyDescent="0.25">
      <c r="B21" s="27">
        <v>40575</v>
      </c>
      <c r="C21" s="69">
        <f t="shared" si="0"/>
        <v>0</v>
      </c>
      <c r="D21" s="78">
        <v>0</v>
      </c>
      <c r="E21" s="78"/>
      <c r="G21" s="6"/>
      <c r="I21" s="6"/>
      <c r="J21" s="7"/>
      <c r="K21" s="6"/>
    </row>
    <row r="22" spans="2:11" x14ac:dyDescent="0.25">
      <c r="B22" s="27">
        <v>40544</v>
      </c>
      <c r="C22" s="69">
        <f t="shared" si="0"/>
        <v>0</v>
      </c>
      <c r="D22" s="78">
        <v>0</v>
      </c>
      <c r="E22" s="78"/>
      <c r="G22" s="6"/>
      <c r="I22" s="6"/>
      <c r="J22" s="7"/>
      <c r="K22" s="6"/>
    </row>
    <row r="23" spans="2:11" x14ac:dyDescent="0.25">
      <c r="B23" s="27">
        <v>40513</v>
      </c>
      <c r="C23" s="69">
        <f t="shared" si="0"/>
        <v>0</v>
      </c>
      <c r="D23" s="78">
        <v>0</v>
      </c>
      <c r="E23" s="78"/>
      <c r="G23" s="6"/>
      <c r="I23" s="6"/>
      <c r="J23" s="7"/>
      <c r="K23" s="6"/>
    </row>
    <row r="24" spans="2:11" x14ac:dyDescent="0.25">
      <c r="B24" s="27">
        <v>40483</v>
      </c>
      <c r="C24" s="69">
        <f t="shared" si="0"/>
        <v>0</v>
      </c>
      <c r="D24" s="78">
        <v>0</v>
      </c>
      <c r="E24" s="78"/>
      <c r="G24" s="6"/>
      <c r="I24" s="6"/>
      <c r="J24" s="7"/>
      <c r="K24" s="6"/>
    </row>
    <row r="25" spans="2:11" x14ac:dyDescent="0.25">
      <c r="B25" s="27">
        <v>40452</v>
      </c>
      <c r="C25" s="69">
        <f t="shared" si="0"/>
        <v>0</v>
      </c>
      <c r="D25" s="78">
        <v>0</v>
      </c>
      <c r="E25" s="78"/>
      <c r="G25" s="6"/>
      <c r="I25" s="6"/>
      <c r="J25" s="7"/>
      <c r="K25" s="6"/>
    </row>
    <row r="26" spans="2:11" x14ac:dyDescent="0.25">
      <c r="B26" s="27">
        <v>40422</v>
      </c>
      <c r="C26" s="69">
        <f t="shared" si="0"/>
        <v>1.9990044247787611</v>
      </c>
      <c r="D26" s="78">
        <v>180.8</v>
      </c>
      <c r="E26" s="78">
        <v>361.42</v>
      </c>
      <c r="G26" s="6"/>
      <c r="I26" s="6"/>
      <c r="J26" s="7"/>
      <c r="K26" s="6"/>
    </row>
    <row r="27" spans="2:11" x14ac:dyDescent="0.25">
      <c r="B27" s="27">
        <v>40391</v>
      </c>
      <c r="C27" s="69">
        <f t="shared" si="0"/>
        <v>1.9989872068230277</v>
      </c>
      <c r="D27" s="78">
        <v>187.6</v>
      </c>
      <c r="E27" s="78">
        <v>375.01</v>
      </c>
      <c r="G27" s="6"/>
      <c r="I27" s="6"/>
      <c r="J27" s="10"/>
      <c r="K27" s="6"/>
    </row>
    <row r="28" spans="2:11" x14ac:dyDescent="0.25">
      <c r="B28" s="27">
        <v>40360</v>
      </c>
      <c r="C28" s="69">
        <f t="shared" si="0"/>
        <v>0</v>
      </c>
      <c r="D28" s="78">
        <v>0</v>
      </c>
      <c r="E28" s="78"/>
      <c r="G28" s="6"/>
      <c r="I28" s="6"/>
      <c r="J28" s="10"/>
      <c r="K28" s="6"/>
    </row>
    <row r="29" spans="2:11" x14ac:dyDescent="0.25">
      <c r="B29" s="27">
        <v>40330</v>
      </c>
      <c r="C29" s="69">
        <f t="shared" si="0"/>
        <v>1.9989623865110249</v>
      </c>
      <c r="D29" s="78">
        <v>77.099999999999994</v>
      </c>
      <c r="E29" s="78">
        <v>154.12</v>
      </c>
      <c r="G29" s="6"/>
      <c r="I29" s="6"/>
      <c r="J29" s="10"/>
      <c r="K29" s="6"/>
    </row>
    <row r="30" spans="2:11" x14ac:dyDescent="0.25">
      <c r="B30" s="27">
        <v>40299</v>
      </c>
      <c r="C30" s="69">
        <f t="shared" si="0"/>
        <v>0</v>
      </c>
      <c r="D30" s="78">
        <v>0</v>
      </c>
      <c r="E30" s="78"/>
      <c r="G30" s="6"/>
      <c r="I30" s="6"/>
      <c r="J30" s="7"/>
      <c r="K30" s="6"/>
    </row>
    <row r="31" spans="2:11" x14ac:dyDescent="0.25">
      <c r="B31" s="27">
        <v>40269</v>
      </c>
      <c r="C31" s="69">
        <f t="shared" si="0"/>
        <v>0</v>
      </c>
      <c r="D31" s="78">
        <v>0</v>
      </c>
      <c r="E31" s="78"/>
      <c r="G31" s="6"/>
      <c r="I31" s="6"/>
      <c r="J31" s="7"/>
      <c r="K31" s="6"/>
    </row>
    <row r="32" spans="2:11" x14ac:dyDescent="0.25">
      <c r="B32" s="27">
        <v>40238</v>
      </c>
      <c r="C32" s="69">
        <f t="shared" si="0"/>
        <v>0</v>
      </c>
      <c r="D32" s="78">
        <v>0</v>
      </c>
      <c r="E32" s="78"/>
      <c r="G32" s="6"/>
      <c r="I32" s="6"/>
      <c r="J32" s="7"/>
      <c r="K32" s="6"/>
    </row>
    <row r="33" spans="2:11" x14ac:dyDescent="0.25">
      <c r="B33" s="27">
        <v>40210</v>
      </c>
      <c r="C33" s="69">
        <f t="shared" si="0"/>
        <v>0</v>
      </c>
      <c r="D33" s="78">
        <v>0</v>
      </c>
      <c r="E33" s="78"/>
      <c r="G33" s="6"/>
      <c r="I33" s="6"/>
      <c r="J33" s="7"/>
      <c r="K33" s="6"/>
    </row>
    <row r="34" spans="2:11" x14ac:dyDescent="0.25">
      <c r="B34" s="27">
        <v>40179</v>
      </c>
      <c r="C34" s="69">
        <f t="shared" si="0"/>
        <v>0</v>
      </c>
      <c r="D34" s="78">
        <v>0</v>
      </c>
      <c r="E34" s="78"/>
      <c r="G34" s="6"/>
      <c r="I34" s="6"/>
      <c r="J34" s="7"/>
      <c r="K34" s="6"/>
    </row>
    <row r="35" spans="2:11" x14ac:dyDescent="0.25">
      <c r="B35" s="27">
        <v>40148</v>
      </c>
      <c r="C35" s="69">
        <f t="shared" si="0"/>
        <v>0</v>
      </c>
      <c r="D35" s="78">
        <v>0</v>
      </c>
      <c r="E35" s="78"/>
      <c r="G35" s="6"/>
      <c r="I35" s="6"/>
      <c r="J35" s="7"/>
      <c r="K35" s="6"/>
    </row>
    <row r="36" spans="2:11" x14ac:dyDescent="0.25">
      <c r="B36" s="27">
        <v>40118</v>
      </c>
      <c r="C36" s="69">
        <f t="shared" si="0"/>
        <v>0</v>
      </c>
      <c r="D36" s="78">
        <v>0</v>
      </c>
      <c r="E36" s="78"/>
      <c r="G36" s="6"/>
      <c r="I36" s="6"/>
      <c r="J36" s="7"/>
      <c r="K36" s="6"/>
    </row>
    <row r="37" spans="2:11" x14ac:dyDescent="0.25">
      <c r="B37" s="27">
        <v>40087</v>
      </c>
      <c r="C37" s="69">
        <f t="shared" si="0"/>
        <v>0</v>
      </c>
      <c r="D37" s="78">
        <v>0</v>
      </c>
      <c r="E37" s="78"/>
      <c r="G37" s="6"/>
      <c r="I37" s="6"/>
      <c r="J37" s="7"/>
      <c r="K37" s="6"/>
    </row>
    <row r="38" spans="2:11" x14ac:dyDescent="0.25">
      <c r="B38" s="27">
        <v>40057</v>
      </c>
      <c r="C38" s="69">
        <f t="shared" si="0"/>
        <v>1.798978433598184</v>
      </c>
      <c r="D38" s="78">
        <v>176.2</v>
      </c>
      <c r="E38" s="78">
        <v>316.98</v>
      </c>
      <c r="G38" s="6"/>
      <c r="I38" s="6"/>
      <c r="J38" s="7"/>
      <c r="K38" s="6"/>
    </row>
    <row r="39" spans="2:11" x14ac:dyDescent="0.25">
      <c r="B39" s="27">
        <v>40026</v>
      </c>
      <c r="C39" s="69">
        <f t="shared" si="0"/>
        <v>1.6989788475565282</v>
      </c>
      <c r="D39" s="78">
        <v>137.1</v>
      </c>
      <c r="E39" s="78">
        <v>232.93</v>
      </c>
      <c r="G39" s="6"/>
      <c r="I39" s="6"/>
      <c r="J39" s="10"/>
      <c r="K39" s="6"/>
    </row>
    <row r="40" spans="2:11" x14ac:dyDescent="0.25">
      <c r="B40" s="27">
        <v>39995</v>
      </c>
      <c r="C40" s="69">
        <f t="shared" si="0"/>
        <v>1.6990038738240179</v>
      </c>
      <c r="D40" s="78">
        <v>180.7</v>
      </c>
      <c r="E40" s="78">
        <v>307.01</v>
      </c>
      <c r="G40" s="6"/>
      <c r="I40" s="6"/>
      <c r="J40" s="10"/>
      <c r="K40" s="6"/>
    </row>
    <row r="41" spans="2:11" x14ac:dyDescent="0.25">
      <c r="B41" s="27">
        <v>39965</v>
      </c>
      <c r="C41" s="69">
        <f t="shared" si="0"/>
        <v>1.6989637305699483</v>
      </c>
      <c r="D41" s="78">
        <v>115.8</v>
      </c>
      <c r="E41" s="78">
        <v>196.74</v>
      </c>
      <c r="G41" s="6"/>
      <c r="I41" s="6"/>
      <c r="J41" s="10"/>
      <c r="K41" s="6"/>
    </row>
    <row r="42" spans="2:11" x14ac:dyDescent="0.25">
      <c r="B42" s="27">
        <v>39934</v>
      </c>
      <c r="C42" s="69">
        <f t="shared" si="0"/>
        <v>0</v>
      </c>
      <c r="D42" s="78">
        <v>0</v>
      </c>
      <c r="E42" s="78"/>
      <c r="G42" s="6"/>
      <c r="I42" s="6"/>
      <c r="J42" s="7"/>
      <c r="K42" s="6"/>
    </row>
    <row r="43" spans="2:11" x14ac:dyDescent="0.25">
      <c r="B43" s="27">
        <v>39904</v>
      </c>
      <c r="C43" s="69">
        <f t="shared" si="0"/>
        <v>0</v>
      </c>
      <c r="D43" s="78">
        <v>0</v>
      </c>
      <c r="E43" s="78"/>
      <c r="G43" s="6"/>
      <c r="I43" s="6"/>
      <c r="J43" s="7"/>
      <c r="K43" s="6"/>
    </row>
    <row r="44" spans="2:11" x14ac:dyDescent="0.25">
      <c r="B44" s="27">
        <v>39873</v>
      </c>
      <c r="C44" s="69">
        <f t="shared" si="0"/>
        <v>0</v>
      </c>
      <c r="D44" s="78">
        <v>0</v>
      </c>
      <c r="E44" s="78"/>
      <c r="G44" s="6"/>
      <c r="I44" s="6"/>
      <c r="J44" s="10"/>
      <c r="K44" s="6"/>
    </row>
    <row r="45" spans="2:11" x14ac:dyDescent="0.25">
      <c r="B45" s="27">
        <v>39845</v>
      </c>
      <c r="C45" s="69">
        <f t="shared" si="0"/>
        <v>0</v>
      </c>
      <c r="D45" s="78">
        <v>0</v>
      </c>
      <c r="E45" s="78"/>
      <c r="G45" s="6"/>
      <c r="I45" s="6"/>
      <c r="J45" s="10"/>
      <c r="K45" s="6"/>
    </row>
    <row r="46" spans="2:11" x14ac:dyDescent="0.25">
      <c r="B46" s="27">
        <v>39814</v>
      </c>
      <c r="C46" s="69">
        <f t="shared" si="0"/>
        <v>0</v>
      </c>
      <c r="D46" s="78">
        <v>0</v>
      </c>
      <c r="E46" s="78"/>
      <c r="G46" s="6"/>
      <c r="I46" s="6"/>
      <c r="J46" s="10"/>
      <c r="K46" s="6"/>
    </row>
    <row r="47" spans="2:11" x14ac:dyDescent="0.25">
      <c r="B47" s="27">
        <v>39783</v>
      </c>
      <c r="C47" s="69">
        <f t="shared" si="0"/>
        <v>0</v>
      </c>
      <c r="D47" s="78">
        <v>0</v>
      </c>
      <c r="E47" s="78"/>
      <c r="G47" s="6"/>
      <c r="I47" s="6"/>
      <c r="J47" s="10"/>
      <c r="K47" s="6"/>
    </row>
    <row r="48" spans="2:11" x14ac:dyDescent="0.25">
      <c r="B48" s="27">
        <v>39753</v>
      </c>
      <c r="C48" s="69">
        <f t="shared" si="0"/>
        <v>0</v>
      </c>
      <c r="D48" s="78">
        <v>0</v>
      </c>
      <c r="E48" s="78"/>
      <c r="G48" s="6"/>
      <c r="I48" s="6"/>
      <c r="J48" s="10"/>
      <c r="K48" s="6"/>
    </row>
    <row r="49" spans="2:11" x14ac:dyDescent="0.25">
      <c r="B49" s="27">
        <v>39722</v>
      </c>
      <c r="C49" s="69">
        <f t="shared" si="0"/>
        <v>0</v>
      </c>
      <c r="D49" s="78">
        <v>0</v>
      </c>
      <c r="E49" s="78"/>
      <c r="G49" s="6"/>
      <c r="I49" s="6"/>
      <c r="J49" s="10"/>
      <c r="K49" s="6"/>
    </row>
    <row r="50" spans="2:11" x14ac:dyDescent="0.25">
      <c r="B50" s="27">
        <v>39692</v>
      </c>
      <c r="C50" s="69">
        <f t="shared" si="0"/>
        <v>2.4990230905861455</v>
      </c>
      <c r="D50" s="78">
        <v>112.6</v>
      </c>
      <c r="E50" s="78">
        <v>281.39</v>
      </c>
      <c r="G50" s="6"/>
      <c r="I50" s="6"/>
      <c r="J50" s="10"/>
      <c r="K50" s="6"/>
    </row>
    <row r="51" spans="2:11" x14ac:dyDescent="0.25">
      <c r="B51" s="27">
        <v>39661</v>
      </c>
      <c r="C51" s="69">
        <f t="shared" si="0"/>
        <v>2.4989759036144576</v>
      </c>
      <c r="D51" s="78">
        <v>166</v>
      </c>
      <c r="E51" s="78">
        <v>414.83</v>
      </c>
      <c r="G51" s="6"/>
      <c r="I51" s="6"/>
      <c r="J51" s="10"/>
      <c r="K51" s="6"/>
    </row>
    <row r="52" spans="2:11" x14ac:dyDescent="0.25">
      <c r="B52" s="27">
        <v>39630</v>
      </c>
      <c r="C52" s="69">
        <f t="shared" si="0"/>
        <v>2.4989743589743592</v>
      </c>
      <c r="D52" s="78">
        <v>117</v>
      </c>
      <c r="E52" s="78">
        <v>292.38</v>
      </c>
      <c r="G52" s="6"/>
      <c r="I52" s="6"/>
      <c r="J52" s="10"/>
      <c r="K52" s="6"/>
    </row>
    <row r="53" spans="2:11" x14ac:dyDescent="0.25">
      <c r="B53" s="27">
        <v>39600</v>
      </c>
      <c r="C53" s="69">
        <f t="shared" si="0"/>
        <v>2.4990418118466899</v>
      </c>
      <c r="D53" s="78">
        <v>114.8</v>
      </c>
      <c r="E53" s="78">
        <v>286.89</v>
      </c>
      <c r="G53" s="6"/>
      <c r="I53" s="6"/>
      <c r="J53" s="10"/>
      <c r="K53" s="6"/>
    </row>
    <row r="54" spans="2:11" x14ac:dyDescent="0.25">
      <c r="B54" s="27">
        <v>39569</v>
      </c>
      <c r="C54" s="69">
        <f t="shared" si="0"/>
        <v>0</v>
      </c>
      <c r="D54" s="78">
        <v>0</v>
      </c>
      <c r="E54" s="78"/>
      <c r="G54" s="6"/>
      <c r="I54" s="6"/>
      <c r="J54" s="10"/>
      <c r="K54" s="6"/>
    </row>
    <row r="55" spans="2:11" x14ac:dyDescent="0.25">
      <c r="B55" s="27">
        <v>39539</v>
      </c>
      <c r="C55" s="69">
        <f t="shared" si="0"/>
        <v>0</v>
      </c>
      <c r="D55" s="78">
        <v>0</v>
      </c>
      <c r="E55" s="78"/>
      <c r="G55" s="6"/>
      <c r="I55" s="6"/>
      <c r="J55" s="7"/>
      <c r="K55" s="6"/>
    </row>
    <row r="56" spans="2:11" x14ac:dyDescent="0.25">
      <c r="B56" s="27">
        <v>39508</v>
      </c>
      <c r="C56" s="69">
        <f t="shared" si="0"/>
        <v>0</v>
      </c>
      <c r="D56" s="78">
        <v>0</v>
      </c>
      <c r="E56" s="78"/>
      <c r="G56" s="6"/>
      <c r="I56" s="6"/>
      <c r="J56" s="7"/>
      <c r="K56" s="6"/>
    </row>
    <row r="57" spans="2:11" x14ac:dyDescent="0.25">
      <c r="B57" s="27">
        <v>39479</v>
      </c>
      <c r="C57" s="69">
        <f t="shared" si="0"/>
        <v>0</v>
      </c>
      <c r="D57" s="78">
        <v>0</v>
      </c>
      <c r="E57" s="78"/>
      <c r="G57" s="6"/>
      <c r="I57" s="6"/>
      <c r="J57" s="7"/>
      <c r="K57" s="6"/>
    </row>
    <row r="58" spans="2:11" x14ac:dyDescent="0.25">
      <c r="B58" s="27">
        <v>39448</v>
      </c>
      <c r="C58" s="69">
        <f t="shared" si="0"/>
        <v>0</v>
      </c>
      <c r="D58" s="78">
        <v>0</v>
      </c>
      <c r="E58" s="78"/>
      <c r="G58" s="6"/>
      <c r="I58" s="6"/>
      <c r="J58" s="7"/>
      <c r="K58" s="6"/>
    </row>
    <row r="59" spans="2:11" x14ac:dyDescent="0.25">
      <c r="B59" s="27">
        <v>39417</v>
      </c>
      <c r="C59" s="69">
        <f t="shared" si="0"/>
        <v>0</v>
      </c>
      <c r="D59" s="78">
        <v>0</v>
      </c>
      <c r="E59" s="78"/>
      <c r="G59" s="6"/>
      <c r="I59" s="6"/>
      <c r="J59" s="7"/>
      <c r="K59" s="6"/>
    </row>
    <row r="60" spans="2:11" x14ac:dyDescent="0.25">
      <c r="B60" s="27">
        <v>39387</v>
      </c>
      <c r="C60" s="69">
        <f t="shared" si="0"/>
        <v>0</v>
      </c>
      <c r="D60" s="78">
        <v>0</v>
      </c>
      <c r="E60" s="78"/>
      <c r="G60" s="6"/>
      <c r="I60" s="6"/>
      <c r="J60" s="7"/>
      <c r="K60" s="6"/>
    </row>
    <row r="61" spans="2:11" x14ac:dyDescent="0.25">
      <c r="B61" s="27">
        <v>39356</v>
      </c>
      <c r="C61" s="69">
        <f t="shared" si="0"/>
        <v>0</v>
      </c>
      <c r="D61" s="78">
        <v>0</v>
      </c>
      <c r="E61" s="78"/>
      <c r="G61" s="6"/>
      <c r="I61" s="6"/>
      <c r="J61" s="7"/>
      <c r="K61" s="6"/>
    </row>
    <row r="62" spans="2:11" x14ac:dyDescent="0.25">
      <c r="B62" s="27">
        <v>39326</v>
      </c>
      <c r="C62" s="69">
        <f t="shared" si="0"/>
        <v>1.7490082644628098</v>
      </c>
      <c r="D62" s="78">
        <v>121</v>
      </c>
      <c r="E62" s="78">
        <v>211.63</v>
      </c>
      <c r="G62" s="6"/>
      <c r="I62" s="6"/>
      <c r="J62" s="7"/>
      <c r="K62" s="6"/>
    </row>
    <row r="63" spans="2:11" x14ac:dyDescent="0.25">
      <c r="B63" s="27">
        <v>39295</v>
      </c>
      <c r="C63" s="69">
        <f t="shared" si="0"/>
        <v>1.7490256410256411</v>
      </c>
      <c r="D63" s="78">
        <v>195</v>
      </c>
      <c r="E63" s="78">
        <v>341.06</v>
      </c>
      <c r="G63" s="6"/>
      <c r="I63" s="6"/>
      <c r="J63" s="7"/>
      <c r="K63" s="6"/>
    </row>
    <row r="64" spans="2:11" x14ac:dyDescent="0.25">
      <c r="B64" s="27">
        <v>39264</v>
      </c>
      <c r="C64" s="69">
        <f t="shared" si="0"/>
        <v>1.6490212765957446</v>
      </c>
      <c r="D64" s="78">
        <v>235</v>
      </c>
      <c r="E64" s="78">
        <v>387.52</v>
      </c>
      <c r="G64" s="6"/>
      <c r="I64" s="6"/>
      <c r="J64" s="10"/>
      <c r="K64" s="6"/>
    </row>
    <row r="65" spans="2:11" x14ac:dyDescent="0.25">
      <c r="B65" s="27">
        <v>39234</v>
      </c>
      <c r="C65" s="69">
        <f t="shared" si="0"/>
        <v>0</v>
      </c>
      <c r="D65" s="78">
        <v>0</v>
      </c>
      <c r="E65" s="78"/>
      <c r="G65" s="6"/>
      <c r="I65" s="6"/>
      <c r="J65" s="7"/>
      <c r="K65" s="6"/>
    </row>
    <row r="66" spans="2:11" x14ac:dyDescent="0.25">
      <c r="B66" s="27">
        <v>39203</v>
      </c>
      <c r="C66" s="69">
        <f t="shared" si="0"/>
        <v>0</v>
      </c>
      <c r="D66" s="78">
        <v>0</v>
      </c>
      <c r="E66" s="78"/>
      <c r="G66" s="6"/>
      <c r="I66" s="6"/>
      <c r="J66" s="7"/>
      <c r="K66" s="6"/>
    </row>
    <row r="67" spans="2:11" x14ac:dyDescent="0.25">
      <c r="B67" s="27">
        <v>39173</v>
      </c>
      <c r="C67" s="69">
        <f t="shared" si="0"/>
        <v>0</v>
      </c>
      <c r="D67" s="78">
        <v>0</v>
      </c>
      <c r="E67" s="78"/>
      <c r="G67" s="6"/>
      <c r="I67" s="6"/>
      <c r="J67" s="7"/>
      <c r="K67" s="6"/>
    </row>
    <row r="68" spans="2:11" x14ac:dyDescent="0.25">
      <c r="B68" s="27">
        <v>39142</v>
      </c>
      <c r="C68" s="69">
        <f t="shared" si="0"/>
        <v>0</v>
      </c>
      <c r="D68" s="78">
        <v>0</v>
      </c>
      <c r="E68" s="78"/>
      <c r="G68" s="6"/>
      <c r="I68" s="6"/>
      <c r="J68" s="7"/>
      <c r="K68" s="6"/>
    </row>
    <row r="69" spans="2:11" x14ac:dyDescent="0.25">
      <c r="B69" s="27">
        <v>39114</v>
      </c>
      <c r="C69" s="69">
        <f t="shared" ref="C69:C70" si="1">IF(E69&gt;0,E69/D69,0)</f>
        <v>0</v>
      </c>
      <c r="D69" s="78">
        <v>0</v>
      </c>
      <c r="E69" s="78"/>
      <c r="G69" s="6"/>
      <c r="I69" s="6"/>
      <c r="J69" s="7"/>
      <c r="K69" s="6"/>
    </row>
    <row r="70" spans="2:11" x14ac:dyDescent="0.25">
      <c r="B70" s="27">
        <v>39083</v>
      </c>
      <c r="C70" s="69">
        <f t="shared" si="1"/>
        <v>0</v>
      </c>
      <c r="D70" s="78">
        <v>0</v>
      </c>
      <c r="E70" s="78"/>
      <c r="G70" s="6"/>
      <c r="I70" s="6"/>
      <c r="J70" s="10"/>
      <c r="K70" s="6"/>
    </row>
    <row r="72" spans="2:11" x14ac:dyDescent="0.25">
      <c r="B72" s="10" t="s">
        <v>6</v>
      </c>
      <c r="D72" s="28">
        <f>SUM(D4:D70)</f>
        <v>2824.6</v>
      </c>
      <c r="E72" s="3">
        <f>SUM(E4:E70)</f>
        <v>5655.9700000000012</v>
      </c>
    </row>
  </sheetData>
  <hyperlinks>
    <hyperlink ref="A1" location="a34098354" display="a34098354"/>
  </hyperlink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3" max="3" width="9.140625" style="63"/>
    <col min="4" max="4" width="9.85546875" bestFit="1" customWidth="1"/>
    <col min="5" max="5" width="11.7109375" bestFit="1" customWidth="1"/>
    <col min="7" max="7" width="13.42578125" customWidth="1"/>
    <col min="9" max="9" width="12.140625" customWidth="1"/>
    <col min="10" max="10" width="15.5703125" customWidth="1"/>
  </cols>
  <sheetData>
    <row r="1" spans="1:5" x14ac:dyDescent="0.25">
      <c r="A1" s="5">
        <f>Summary!B20</f>
        <v>30510</v>
      </c>
      <c r="B1" s="2" t="str">
        <f>Summary!C20</f>
        <v>530677: 577211: 613153: 613155   Dining Hall</v>
      </c>
    </row>
    <row r="3" spans="1:5" ht="51" x14ac:dyDescent="0.25">
      <c r="B3" s="11" t="s">
        <v>4</v>
      </c>
      <c r="C3" s="64" t="s">
        <v>14</v>
      </c>
      <c r="D3" s="55" t="s">
        <v>15</v>
      </c>
      <c r="E3" s="59" t="s">
        <v>13</v>
      </c>
    </row>
    <row r="4" spans="1:5" x14ac:dyDescent="0.25">
      <c r="B4" s="27">
        <v>41091</v>
      </c>
      <c r="C4" s="65">
        <v>2.2989999999999999</v>
      </c>
      <c r="D4" s="57">
        <v>1427.2</v>
      </c>
      <c r="E4" s="79">
        <f t="shared" ref="E4:E67" si="0">D4*C4</f>
        <v>3281.1327999999999</v>
      </c>
    </row>
    <row r="5" spans="1:5" x14ac:dyDescent="0.25">
      <c r="B5" s="27">
        <v>41061</v>
      </c>
      <c r="C5" s="65">
        <v>2.2989999999999999</v>
      </c>
      <c r="D5" s="57">
        <v>1203.5</v>
      </c>
      <c r="E5" s="79">
        <f t="shared" si="0"/>
        <v>2766.8465000000001</v>
      </c>
    </row>
    <row r="6" spans="1:5" x14ac:dyDescent="0.25">
      <c r="B6" s="27">
        <v>41030</v>
      </c>
      <c r="C6" s="65">
        <v>2.2989999999999999</v>
      </c>
      <c r="D6" s="57">
        <v>257.10000000000002</v>
      </c>
      <c r="E6" s="79">
        <f t="shared" si="0"/>
        <v>591.0729</v>
      </c>
    </row>
    <row r="7" spans="1:5" x14ac:dyDescent="0.25">
      <c r="B7" s="27">
        <v>41000</v>
      </c>
      <c r="C7" s="65"/>
      <c r="D7" s="57">
        <v>0</v>
      </c>
      <c r="E7" s="79">
        <f t="shared" si="0"/>
        <v>0</v>
      </c>
    </row>
    <row r="8" spans="1:5" x14ac:dyDescent="0.25">
      <c r="B8" s="27">
        <v>40969</v>
      </c>
      <c r="C8" s="65"/>
      <c r="D8" s="57">
        <v>0</v>
      </c>
      <c r="E8" s="79">
        <f t="shared" si="0"/>
        <v>0</v>
      </c>
    </row>
    <row r="9" spans="1:5" x14ac:dyDescent="0.25">
      <c r="B9" s="27">
        <v>40940</v>
      </c>
      <c r="C9" s="65"/>
      <c r="D9" s="77">
        <v>0</v>
      </c>
      <c r="E9" s="79">
        <f t="shared" si="0"/>
        <v>0</v>
      </c>
    </row>
    <row r="10" spans="1:5" x14ac:dyDescent="0.25">
      <c r="B10" s="27">
        <v>40909</v>
      </c>
      <c r="C10" s="65"/>
      <c r="D10" s="77">
        <v>0</v>
      </c>
      <c r="E10" s="79">
        <f t="shared" si="0"/>
        <v>0</v>
      </c>
    </row>
    <row r="11" spans="1:5" x14ac:dyDescent="0.25">
      <c r="B11" s="27">
        <v>40878</v>
      </c>
      <c r="C11" s="65"/>
      <c r="D11" s="77">
        <v>0</v>
      </c>
      <c r="E11" s="79">
        <f t="shared" si="0"/>
        <v>0</v>
      </c>
    </row>
    <row r="12" spans="1:5" x14ac:dyDescent="0.25">
      <c r="B12" s="27">
        <v>40848</v>
      </c>
      <c r="C12" s="65"/>
      <c r="D12" s="77">
        <v>0</v>
      </c>
      <c r="E12" s="79">
        <f t="shared" si="0"/>
        <v>0</v>
      </c>
    </row>
    <row r="13" spans="1:5" x14ac:dyDescent="0.25">
      <c r="B13" s="27">
        <v>40817</v>
      </c>
      <c r="C13" s="65">
        <v>2.2989999999999999</v>
      </c>
      <c r="D13" s="77">
        <v>283.60000000000002</v>
      </c>
      <c r="E13" s="79">
        <f t="shared" si="0"/>
        <v>651.99639999999999</v>
      </c>
    </row>
    <row r="14" spans="1:5" x14ac:dyDescent="0.25">
      <c r="B14" s="27">
        <v>40787</v>
      </c>
      <c r="C14" s="65">
        <v>2.2989999999999999</v>
      </c>
      <c r="D14" s="77">
        <v>1307.9000000000001</v>
      </c>
      <c r="E14" s="79">
        <f t="shared" si="0"/>
        <v>3006.8621000000003</v>
      </c>
    </row>
    <row r="15" spans="1:5" x14ac:dyDescent="0.25">
      <c r="B15" s="27">
        <v>40756</v>
      </c>
      <c r="C15" s="65">
        <v>1.9990000000000001</v>
      </c>
      <c r="D15" s="77">
        <v>1552.9</v>
      </c>
      <c r="E15" s="79">
        <f t="shared" si="0"/>
        <v>3104.2471000000005</v>
      </c>
    </row>
    <row r="16" spans="1:5" x14ac:dyDescent="0.25">
      <c r="B16" s="27">
        <v>40725</v>
      </c>
      <c r="C16" s="65">
        <v>1.9990000000000001</v>
      </c>
      <c r="D16" s="77">
        <f>973.8+975.4</f>
        <v>1949.1999999999998</v>
      </c>
      <c r="E16" s="79">
        <f t="shared" si="0"/>
        <v>3896.4508000000001</v>
      </c>
    </row>
    <row r="17" spans="2:11" x14ac:dyDescent="0.25">
      <c r="B17" s="27">
        <v>40695</v>
      </c>
      <c r="C17" s="65"/>
      <c r="D17" s="77">
        <v>0</v>
      </c>
      <c r="E17" s="79">
        <f t="shared" si="0"/>
        <v>0</v>
      </c>
    </row>
    <row r="18" spans="2:11" x14ac:dyDescent="0.25">
      <c r="B18" s="27">
        <v>40664</v>
      </c>
      <c r="C18" s="65"/>
      <c r="D18" s="77">
        <v>0</v>
      </c>
      <c r="E18" s="79">
        <f t="shared" si="0"/>
        <v>0</v>
      </c>
    </row>
    <row r="19" spans="2:11" x14ac:dyDescent="0.25">
      <c r="B19" s="27">
        <v>40634</v>
      </c>
      <c r="C19" s="65"/>
      <c r="D19" s="77">
        <v>0</v>
      </c>
      <c r="E19" s="79">
        <f t="shared" si="0"/>
        <v>0</v>
      </c>
    </row>
    <row r="20" spans="2:11" x14ac:dyDescent="0.25">
      <c r="B20" s="27">
        <v>40603</v>
      </c>
      <c r="C20" s="65"/>
      <c r="D20" s="77">
        <v>0</v>
      </c>
      <c r="E20" s="79">
        <f t="shared" si="0"/>
        <v>0</v>
      </c>
      <c r="G20" s="6"/>
      <c r="I20" s="6"/>
      <c r="J20" s="7"/>
    </row>
    <row r="21" spans="2:11" x14ac:dyDescent="0.25">
      <c r="B21" s="27">
        <v>40575</v>
      </c>
      <c r="C21" s="66"/>
      <c r="D21" s="79">
        <v>0</v>
      </c>
      <c r="E21" s="79">
        <f t="shared" si="0"/>
        <v>0</v>
      </c>
      <c r="G21" s="6"/>
      <c r="I21" s="6"/>
      <c r="J21" s="7"/>
      <c r="K21" s="6"/>
    </row>
    <row r="22" spans="2:11" x14ac:dyDescent="0.25">
      <c r="B22" s="27">
        <v>40544</v>
      </c>
      <c r="C22" s="66"/>
      <c r="D22" s="79">
        <v>0</v>
      </c>
      <c r="E22" s="79">
        <f t="shared" si="0"/>
        <v>0</v>
      </c>
      <c r="G22" s="6"/>
      <c r="I22" s="6"/>
      <c r="J22" s="7"/>
      <c r="K22" s="6"/>
    </row>
    <row r="23" spans="2:11" x14ac:dyDescent="0.25">
      <c r="B23" s="27">
        <v>40513</v>
      </c>
      <c r="C23" s="66"/>
      <c r="D23" s="79">
        <v>0</v>
      </c>
      <c r="E23" s="79">
        <f t="shared" si="0"/>
        <v>0</v>
      </c>
      <c r="G23" s="6"/>
      <c r="I23" s="6"/>
      <c r="J23" s="7"/>
      <c r="K23" s="6"/>
    </row>
    <row r="24" spans="2:11" x14ac:dyDescent="0.25">
      <c r="B24" s="27">
        <v>40483</v>
      </c>
      <c r="C24" s="66"/>
      <c r="D24" s="79">
        <v>0</v>
      </c>
      <c r="E24" s="79">
        <f t="shared" si="0"/>
        <v>0</v>
      </c>
      <c r="G24" s="6"/>
      <c r="I24" s="6"/>
      <c r="J24" s="7"/>
      <c r="K24" s="6"/>
    </row>
    <row r="25" spans="2:11" x14ac:dyDescent="0.25">
      <c r="B25" s="27">
        <v>40452</v>
      </c>
      <c r="C25" s="66">
        <v>1.9990000000000001</v>
      </c>
      <c r="D25" s="79">
        <v>114.3</v>
      </c>
      <c r="E25" s="79">
        <f t="shared" si="0"/>
        <v>228.48570000000001</v>
      </c>
      <c r="G25" s="6"/>
      <c r="I25" s="6"/>
      <c r="J25" s="7"/>
      <c r="K25" s="6"/>
    </row>
    <row r="26" spans="2:11" x14ac:dyDescent="0.25">
      <c r="B26" s="27">
        <v>40422</v>
      </c>
      <c r="C26" s="66">
        <v>1.9990000000000001</v>
      </c>
      <c r="D26" s="79">
        <f>315.1+796</f>
        <v>1111.0999999999999</v>
      </c>
      <c r="E26" s="79">
        <f t="shared" si="0"/>
        <v>2221.0888999999997</v>
      </c>
      <c r="G26" s="6"/>
      <c r="I26" s="6"/>
      <c r="J26" s="7"/>
      <c r="K26" s="6"/>
    </row>
    <row r="27" spans="2:11" x14ac:dyDescent="0.25">
      <c r="B27" s="27">
        <v>40422</v>
      </c>
      <c r="C27" s="66">
        <v>1.9990000000000001</v>
      </c>
      <c r="D27" s="79">
        <v>1457.6</v>
      </c>
      <c r="E27" s="79">
        <f t="shared" si="0"/>
        <v>2913.7424000000001</v>
      </c>
      <c r="G27" s="6"/>
      <c r="I27" s="6"/>
      <c r="J27" s="7"/>
      <c r="K27" s="6"/>
    </row>
    <row r="28" spans="2:11" x14ac:dyDescent="0.25">
      <c r="B28" s="27">
        <v>40360</v>
      </c>
      <c r="C28" s="66">
        <v>1.9990000000000001</v>
      </c>
      <c r="D28" s="79">
        <v>932.1</v>
      </c>
      <c r="E28" s="79">
        <f t="shared" si="0"/>
        <v>1863.2679000000001</v>
      </c>
      <c r="G28" s="6"/>
      <c r="I28" s="6"/>
      <c r="J28" s="7"/>
      <c r="K28" s="6"/>
    </row>
    <row r="29" spans="2:11" x14ac:dyDescent="0.25">
      <c r="B29" s="27">
        <v>40330</v>
      </c>
      <c r="C29" s="66">
        <v>1.9990000000000001</v>
      </c>
      <c r="D29" s="79">
        <v>1158.5</v>
      </c>
      <c r="E29" s="79">
        <f t="shared" si="0"/>
        <v>2315.8415</v>
      </c>
      <c r="G29" s="6"/>
      <c r="I29" s="6"/>
      <c r="J29" s="10"/>
      <c r="K29" s="6"/>
    </row>
    <row r="30" spans="2:11" x14ac:dyDescent="0.25">
      <c r="B30" s="27">
        <v>40299</v>
      </c>
      <c r="C30" s="66">
        <v>1.7989999999999999</v>
      </c>
      <c r="D30" s="79">
        <v>178.5</v>
      </c>
      <c r="E30" s="79">
        <f t="shared" si="0"/>
        <v>321.12149999999997</v>
      </c>
      <c r="G30" s="6"/>
      <c r="I30" s="6"/>
      <c r="J30" s="7"/>
      <c r="K30" s="6"/>
    </row>
    <row r="31" spans="2:11" x14ac:dyDescent="0.25">
      <c r="B31" s="27">
        <v>40269</v>
      </c>
      <c r="C31" s="66">
        <v>1.7989999999999999</v>
      </c>
      <c r="D31" s="79">
        <v>800.4</v>
      </c>
      <c r="E31" s="79">
        <f t="shared" si="0"/>
        <v>1439.9195999999999</v>
      </c>
      <c r="G31" s="6"/>
      <c r="I31" s="6"/>
      <c r="J31" s="7"/>
      <c r="K31" s="6"/>
    </row>
    <row r="32" spans="2:11" x14ac:dyDescent="0.25">
      <c r="B32" s="27">
        <v>40238</v>
      </c>
      <c r="C32" s="66"/>
      <c r="D32" s="79">
        <v>0</v>
      </c>
      <c r="E32" s="79">
        <f t="shared" si="0"/>
        <v>0</v>
      </c>
      <c r="G32" s="6"/>
      <c r="I32" s="6"/>
      <c r="J32" s="7"/>
      <c r="K32" s="6"/>
    </row>
    <row r="33" spans="2:11" x14ac:dyDescent="0.25">
      <c r="B33" s="27">
        <v>40238</v>
      </c>
      <c r="C33" s="66"/>
      <c r="D33" s="79">
        <v>0</v>
      </c>
      <c r="E33" s="79">
        <f t="shared" si="0"/>
        <v>0</v>
      </c>
      <c r="G33" s="6"/>
      <c r="I33" s="6"/>
      <c r="J33" s="7"/>
      <c r="K33" s="6"/>
    </row>
    <row r="34" spans="2:11" x14ac:dyDescent="0.25">
      <c r="B34" s="27">
        <v>40179</v>
      </c>
      <c r="C34" s="66">
        <v>1.7989999999999999</v>
      </c>
      <c r="D34" s="79">
        <v>1011.6</v>
      </c>
      <c r="E34" s="79">
        <f t="shared" si="0"/>
        <v>1819.8684000000001</v>
      </c>
      <c r="G34" s="6"/>
      <c r="I34" s="6"/>
      <c r="J34" s="7"/>
      <c r="K34" s="6"/>
    </row>
    <row r="35" spans="2:11" x14ac:dyDescent="0.25">
      <c r="B35" s="27">
        <v>40148</v>
      </c>
      <c r="C35" s="66">
        <v>1.7989999999999999</v>
      </c>
      <c r="D35" s="79">
        <v>1067.9000000000001</v>
      </c>
      <c r="E35" s="79">
        <f t="shared" si="0"/>
        <v>1921.1521</v>
      </c>
      <c r="G35" s="6"/>
      <c r="I35" s="6"/>
      <c r="J35" s="7"/>
      <c r="K35" s="6"/>
    </row>
    <row r="36" spans="2:11" x14ac:dyDescent="0.25">
      <c r="B36" s="27">
        <v>40118</v>
      </c>
      <c r="C36" s="66">
        <v>1.7989999999999999</v>
      </c>
      <c r="D36" s="79">
        <v>500.1</v>
      </c>
      <c r="E36" s="79">
        <f t="shared" si="0"/>
        <v>899.67989999999998</v>
      </c>
      <c r="G36" s="6"/>
      <c r="I36" s="6"/>
      <c r="J36" s="7"/>
      <c r="K36" s="6"/>
    </row>
    <row r="37" spans="2:11" x14ac:dyDescent="0.25">
      <c r="B37" s="27">
        <v>40087</v>
      </c>
      <c r="C37" s="66"/>
      <c r="D37" s="79">
        <v>0</v>
      </c>
      <c r="E37" s="79">
        <f t="shared" si="0"/>
        <v>0</v>
      </c>
      <c r="G37" s="6"/>
      <c r="I37" s="6"/>
      <c r="J37" s="10"/>
      <c r="K37" s="6"/>
    </row>
    <row r="38" spans="2:11" x14ac:dyDescent="0.25">
      <c r="B38" s="27">
        <v>40057</v>
      </c>
      <c r="C38" s="66"/>
      <c r="D38" s="79">
        <v>0</v>
      </c>
      <c r="E38" s="79">
        <f t="shared" si="0"/>
        <v>0</v>
      </c>
      <c r="G38" s="6"/>
      <c r="I38" s="6"/>
      <c r="J38" s="7"/>
      <c r="K38" s="6"/>
    </row>
    <row r="39" spans="2:11" x14ac:dyDescent="0.25">
      <c r="B39" s="27">
        <v>40026</v>
      </c>
      <c r="C39" s="66">
        <v>1.6990000000000001</v>
      </c>
      <c r="D39" s="79">
        <v>1302.0999999999999</v>
      </c>
      <c r="E39" s="79">
        <f t="shared" si="0"/>
        <v>2212.2678999999998</v>
      </c>
      <c r="G39" s="6"/>
      <c r="I39" s="6"/>
      <c r="J39" s="10"/>
    </row>
    <row r="40" spans="2:11" x14ac:dyDescent="0.25">
      <c r="B40" s="27">
        <v>39995</v>
      </c>
      <c r="C40" s="66"/>
      <c r="D40" s="79">
        <v>0</v>
      </c>
      <c r="E40" s="79">
        <f t="shared" si="0"/>
        <v>0</v>
      </c>
      <c r="G40" s="6"/>
      <c r="I40" s="6"/>
      <c r="J40" s="10"/>
      <c r="K40" s="6"/>
    </row>
    <row r="41" spans="2:11" x14ac:dyDescent="0.25">
      <c r="B41" s="27">
        <v>39965</v>
      </c>
      <c r="C41" s="66"/>
      <c r="D41" s="79">
        <v>0</v>
      </c>
      <c r="E41" s="79">
        <f t="shared" si="0"/>
        <v>0</v>
      </c>
      <c r="G41" s="6"/>
      <c r="I41" s="6"/>
      <c r="J41" s="10"/>
      <c r="K41" s="6"/>
    </row>
    <row r="42" spans="2:11" x14ac:dyDescent="0.25">
      <c r="B42" s="27">
        <v>39934</v>
      </c>
      <c r="C42" s="66">
        <v>1.9990000000000001</v>
      </c>
      <c r="D42" s="79">
        <v>404.4</v>
      </c>
      <c r="E42" s="79">
        <f t="shared" si="0"/>
        <v>808.39559999999994</v>
      </c>
      <c r="G42" s="6"/>
      <c r="I42" s="6"/>
      <c r="J42" s="10"/>
      <c r="K42" s="6"/>
    </row>
    <row r="43" spans="2:11" x14ac:dyDescent="0.25">
      <c r="B43" s="27">
        <v>39904</v>
      </c>
      <c r="C43" s="66">
        <v>1.9990000000000001</v>
      </c>
      <c r="D43" s="79">
        <v>1051.2</v>
      </c>
      <c r="E43" s="79">
        <f t="shared" si="0"/>
        <v>2101.3488000000002</v>
      </c>
      <c r="G43" s="6"/>
      <c r="I43" s="6"/>
      <c r="J43" s="10"/>
      <c r="K43" s="6"/>
    </row>
    <row r="44" spans="2:11" x14ac:dyDescent="0.25">
      <c r="B44" s="27">
        <v>39845</v>
      </c>
      <c r="C44" s="66">
        <v>2.0990000000000002</v>
      </c>
      <c r="D44" s="79">
        <v>359.8</v>
      </c>
      <c r="E44" s="79">
        <f t="shared" si="0"/>
        <v>755.22020000000009</v>
      </c>
      <c r="G44" s="6"/>
      <c r="I44" s="6"/>
      <c r="J44" s="10"/>
      <c r="K44" s="6"/>
    </row>
    <row r="45" spans="2:11" x14ac:dyDescent="0.25">
      <c r="B45" s="27">
        <v>39845</v>
      </c>
      <c r="C45" s="66">
        <v>2.4990000000000001</v>
      </c>
      <c r="D45" s="79">
        <v>1007.7</v>
      </c>
      <c r="E45" s="79">
        <f t="shared" si="0"/>
        <v>2518.2423000000003</v>
      </c>
      <c r="G45" s="6"/>
      <c r="I45" s="6"/>
      <c r="J45" s="10"/>
      <c r="K45" s="6"/>
    </row>
    <row r="46" spans="2:11" x14ac:dyDescent="0.25">
      <c r="B46" s="27">
        <v>39814</v>
      </c>
      <c r="C46" s="66">
        <v>2.4990000000000001</v>
      </c>
      <c r="D46" s="79">
        <v>1682.1</v>
      </c>
      <c r="E46" s="79">
        <f t="shared" si="0"/>
        <v>4203.5679</v>
      </c>
      <c r="G46" s="6"/>
      <c r="I46" s="6"/>
      <c r="J46" s="10"/>
      <c r="K46" s="6"/>
    </row>
    <row r="47" spans="2:11" x14ac:dyDescent="0.25">
      <c r="B47" s="27">
        <v>39783</v>
      </c>
      <c r="C47" s="66"/>
      <c r="D47" s="79">
        <v>0</v>
      </c>
      <c r="E47" s="79">
        <f t="shared" si="0"/>
        <v>0</v>
      </c>
      <c r="G47" s="6"/>
      <c r="I47" s="6"/>
      <c r="J47" s="10"/>
      <c r="K47" s="6"/>
    </row>
    <row r="48" spans="2:11" x14ac:dyDescent="0.25">
      <c r="B48" s="27">
        <v>39753</v>
      </c>
      <c r="C48" s="66">
        <v>2.4990000000000001</v>
      </c>
      <c r="D48" s="79">
        <v>722.4</v>
      </c>
      <c r="E48" s="79">
        <f t="shared" si="0"/>
        <v>1805.2776000000001</v>
      </c>
      <c r="G48" s="6"/>
      <c r="I48" s="6"/>
      <c r="J48" s="10"/>
      <c r="K48" s="6"/>
    </row>
    <row r="49" spans="2:11" x14ac:dyDescent="0.25">
      <c r="B49" s="27">
        <v>39722</v>
      </c>
      <c r="C49" s="66"/>
      <c r="D49" s="79">
        <v>0</v>
      </c>
      <c r="E49" s="79">
        <f t="shared" si="0"/>
        <v>0</v>
      </c>
      <c r="G49" s="6"/>
      <c r="I49" s="6"/>
      <c r="J49" s="10"/>
      <c r="K49" s="6"/>
    </row>
    <row r="50" spans="2:11" x14ac:dyDescent="0.25">
      <c r="B50" s="27">
        <v>39692</v>
      </c>
      <c r="C50" s="66"/>
      <c r="D50" s="79">
        <v>0</v>
      </c>
      <c r="E50" s="79">
        <f t="shared" si="0"/>
        <v>0</v>
      </c>
      <c r="G50" s="6"/>
      <c r="I50" s="6"/>
      <c r="J50" s="10"/>
      <c r="K50" s="6"/>
    </row>
    <row r="51" spans="2:11" x14ac:dyDescent="0.25">
      <c r="B51" s="27">
        <v>39661</v>
      </c>
      <c r="C51" s="66">
        <v>2.4990000000000001</v>
      </c>
      <c r="D51" s="79">
        <v>517.70000000000005</v>
      </c>
      <c r="E51" s="79">
        <f t="shared" si="0"/>
        <v>1293.7323000000001</v>
      </c>
      <c r="G51" s="6"/>
      <c r="I51" s="6"/>
      <c r="J51" s="10"/>
      <c r="K51" s="6"/>
    </row>
    <row r="52" spans="2:11" x14ac:dyDescent="0.25">
      <c r="B52" s="27">
        <v>39630</v>
      </c>
      <c r="C52" s="66">
        <v>2.4990000000000001</v>
      </c>
      <c r="D52" s="79">
        <v>824.5</v>
      </c>
      <c r="E52" s="79">
        <f t="shared" si="0"/>
        <v>2060.4255000000003</v>
      </c>
      <c r="G52" s="6"/>
      <c r="I52" s="6"/>
      <c r="J52" s="10"/>
      <c r="K52" s="6"/>
    </row>
    <row r="53" spans="2:11" x14ac:dyDescent="0.25">
      <c r="B53" s="27">
        <v>39600</v>
      </c>
      <c r="C53" s="66">
        <v>2.4990000000000001</v>
      </c>
      <c r="D53" s="79">
        <v>660.3</v>
      </c>
      <c r="E53" s="79">
        <f t="shared" si="0"/>
        <v>1650.0897</v>
      </c>
      <c r="G53" s="6"/>
      <c r="I53" s="6"/>
      <c r="J53" s="10"/>
      <c r="K53" s="6"/>
    </row>
    <row r="54" spans="2:11" x14ac:dyDescent="0.25">
      <c r="B54" s="27">
        <v>39600</v>
      </c>
      <c r="C54" s="66">
        <v>1.9990000000000001</v>
      </c>
      <c r="D54" s="79">
        <v>660.3</v>
      </c>
      <c r="E54" s="79">
        <f t="shared" si="0"/>
        <v>1319.9396999999999</v>
      </c>
      <c r="G54" s="6"/>
      <c r="I54" s="6"/>
      <c r="J54" s="10"/>
      <c r="K54" s="6"/>
    </row>
    <row r="55" spans="2:11" x14ac:dyDescent="0.25">
      <c r="B55" s="27">
        <v>39539</v>
      </c>
      <c r="C55" s="66"/>
      <c r="D55" s="79">
        <v>0</v>
      </c>
      <c r="E55" s="79">
        <f t="shared" si="0"/>
        <v>0</v>
      </c>
      <c r="G55" s="6"/>
      <c r="I55" s="6"/>
      <c r="J55" s="10"/>
      <c r="K55" s="6"/>
    </row>
    <row r="56" spans="2:11" x14ac:dyDescent="0.25">
      <c r="B56" s="27">
        <v>39508</v>
      </c>
      <c r="C56" s="66">
        <v>1.9990000000000001</v>
      </c>
      <c r="D56" s="79">
        <v>1394</v>
      </c>
      <c r="E56" s="79">
        <f t="shared" si="0"/>
        <v>2786.6060000000002</v>
      </c>
      <c r="G56" s="6"/>
      <c r="I56" s="6"/>
      <c r="J56" s="10"/>
      <c r="K56" s="6"/>
    </row>
    <row r="57" spans="2:11" x14ac:dyDescent="0.25">
      <c r="B57" s="27">
        <v>39479</v>
      </c>
      <c r="C57" s="66">
        <v>1.9990000000000001</v>
      </c>
      <c r="D57" s="79">
        <v>375</v>
      </c>
      <c r="E57" s="79">
        <f t="shared" si="0"/>
        <v>749.625</v>
      </c>
      <c r="G57" s="6"/>
      <c r="I57" s="6"/>
      <c r="J57" s="10"/>
      <c r="K57" s="6"/>
    </row>
    <row r="58" spans="2:11" x14ac:dyDescent="0.25">
      <c r="B58" s="27">
        <v>39448</v>
      </c>
      <c r="C58" s="66">
        <v>1.9990000000000001</v>
      </c>
      <c r="D58" s="79">
        <v>1239</v>
      </c>
      <c r="E58" s="79">
        <f t="shared" si="0"/>
        <v>2476.761</v>
      </c>
      <c r="G58" s="6"/>
      <c r="I58" s="6"/>
      <c r="J58" s="10"/>
      <c r="K58" s="6"/>
    </row>
    <row r="59" spans="2:11" x14ac:dyDescent="0.25">
      <c r="B59" s="27">
        <v>39417</v>
      </c>
      <c r="C59" s="66"/>
      <c r="D59" s="79">
        <v>0</v>
      </c>
      <c r="E59" s="79">
        <f t="shared" si="0"/>
        <v>0</v>
      </c>
      <c r="G59" s="6"/>
      <c r="I59" s="6"/>
      <c r="J59" s="10"/>
      <c r="K59" s="6"/>
    </row>
    <row r="60" spans="2:11" x14ac:dyDescent="0.25">
      <c r="B60" s="27">
        <v>39387</v>
      </c>
      <c r="C60" s="66">
        <v>1.7490000000000001</v>
      </c>
      <c r="D60" s="79">
        <v>1091</v>
      </c>
      <c r="E60" s="79">
        <f t="shared" si="0"/>
        <v>1908.1590000000001</v>
      </c>
      <c r="G60" s="6"/>
      <c r="I60" s="6"/>
      <c r="J60" s="7"/>
      <c r="K60" s="6"/>
    </row>
    <row r="61" spans="2:11" x14ac:dyDescent="0.25">
      <c r="B61" s="27">
        <v>39356</v>
      </c>
      <c r="C61" s="66"/>
      <c r="D61" s="79">
        <v>0</v>
      </c>
      <c r="E61" s="79">
        <f t="shared" si="0"/>
        <v>0</v>
      </c>
      <c r="G61" s="6"/>
      <c r="I61" s="6"/>
      <c r="J61" s="7"/>
      <c r="K61" s="6"/>
    </row>
    <row r="62" spans="2:11" x14ac:dyDescent="0.25">
      <c r="B62" s="27">
        <v>39326</v>
      </c>
      <c r="C62" s="66">
        <v>1.7490000000000001</v>
      </c>
      <c r="D62" s="79">
        <v>1091</v>
      </c>
      <c r="E62" s="79">
        <f t="shared" si="0"/>
        <v>1908.1590000000001</v>
      </c>
      <c r="G62" s="6"/>
      <c r="I62" s="6"/>
      <c r="J62" s="7"/>
      <c r="K62" s="6"/>
    </row>
    <row r="63" spans="2:11" x14ac:dyDescent="0.25">
      <c r="B63" s="27">
        <v>39295</v>
      </c>
      <c r="C63" s="66">
        <v>1.7490000000000001</v>
      </c>
      <c r="D63" s="79">
        <v>1255</v>
      </c>
      <c r="E63" s="79">
        <f t="shared" si="0"/>
        <v>2194.9950000000003</v>
      </c>
      <c r="G63" s="6"/>
      <c r="I63" s="6"/>
      <c r="J63" s="7"/>
      <c r="K63" s="6"/>
    </row>
    <row r="64" spans="2:11" x14ac:dyDescent="0.25">
      <c r="B64" s="27">
        <v>39264</v>
      </c>
      <c r="C64" s="66">
        <v>1.7490000000000001</v>
      </c>
      <c r="D64" s="79">
        <v>301</v>
      </c>
      <c r="E64" s="79">
        <f t="shared" si="0"/>
        <v>526.44900000000007</v>
      </c>
      <c r="G64" s="6"/>
      <c r="I64" s="6"/>
      <c r="J64" s="7"/>
      <c r="K64" s="6"/>
    </row>
    <row r="65" spans="2:11" x14ac:dyDescent="0.25">
      <c r="B65" s="27">
        <v>39234</v>
      </c>
      <c r="C65" s="66">
        <v>1.7490000000000001</v>
      </c>
      <c r="D65" s="79">
        <v>227</v>
      </c>
      <c r="E65" s="79">
        <f t="shared" si="0"/>
        <v>397.02300000000002</v>
      </c>
      <c r="G65" s="6"/>
      <c r="I65" s="6"/>
      <c r="J65" s="7"/>
      <c r="K65" s="6"/>
    </row>
    <row r="66" spans="2:11" x14ac:dyDescent="0.25">
      <c r="B66" s="27">
        <v>39203</v>
      </c>
      <c r="C66" s="66">
        <v>1.649</v>
      </c>
      <c r="D66" s="79">
        <v>262</v>
      </c>
      <c r="E66" s="79">
        <f t="shared" si="0"/>
        <v>432.03800000000001</v>
      </c>
      <c r="G66" s="6"/>
      <c r="I66" s="6"/>
      <c r="J66" s="7"/>
      <c r="K66" s="6"/>
    </row>
    <row r="67" spans="2:11" x14ac:dyDescent="0.25">
      <c r="B67" s="27">
        <v>39173</v>
      </c>
      <c r="C67" s="66">
        <v>1.649</v>
      </c>
      <c r="D67" s="79">
        <v>713</v>
      </c>
      <c r="E67" s="79">
        <f t="shared" si="0"/>
        <v>1175.7370000000001</v>
      </c>
      <c r="G67" s="6"/>
      <c r="I67" s="6"/>
      <c r="J67" s="7"/>
      <c r="K67" s="6"/>
    </row>
    <row r="68" spans="2:11" x14ac:dyDescent="0.25">
      <c r="B68" s="27">
        <v>39142</v>
      </c>
      <c r="C68" s="66">
        <v>1.649</v>
      </c>
      <c r="D68" s="79">
        <v>569</v>
      </c>
      <c r="E68" s="79">
        <f t="shared" ref="E68" si="1">D68*C68</f>
        <v>938.28100000000006</v>
      </c>
      <c r="G68" s="6"/>
      <c r="I68" s="6"/>
      <c r="J68" s="7"/>
      <c r="K68" s="6"/>
    </row>
    <row r="69" spans="2:11" x14ac:dyDescent="0.25">
      <c r="B69" s="27">
        <v>39114</v>
      </c>
      <c r="C69" s="66">
        <v>1.649</v>
      </c>
      <c r="D69" s="79">
        <f>1060+1046</f>
        <v>2106</v>
      </c>
      <c r="E69" s="79">
        <f>D69*C69</f>
        <v>3472.7939999999999</v>
      </c>
      <c r="G69" s="6"/>
      <c r="I69" s="6"/>
      <c r="J69" s="7"/>
      <c r="K69" s="6"/>
    </row>
    <row r="70" spans="2:11" x14ac:dyDescent="0.25">
      <c r="B70" s="27">
        <v>39083</v>
      </c>
      <c r="C70" s="66"/>
      <c r="D70" s="79">
        <v>0</v>
      </c>
      <c r="E70" s="79">
        <v>0</v>
      </c>
      <c r="G70" s="6"/>
      <c r="I70" s="6"/>
      <c r="J70" s="7"/>
      <c r="K70" s="6"/>
    </row>
    <row r="72" spans="2:11" x14ac:dyDescent="0.25">
      <c r="B72" s="10" t="s">
        <v>6</v>
      </c>
      <c r="D72" s="28">
        <f>SUM(D4:D70)</f>
        <v>36129</v>
      </c>
      <c r="E72" s="3">
        <f>SUM(E4:E70)</f>
        <v>72937.910999999993</v>
      </c>
    </row>
  </sheetData>
  <hyperlinks>
    <hyperlink ref="A1" location="a24961146" display="a24961146"/>
  </hyperlinks>
  <pageMargins left="0.7" right="0.7" top="0.75" bottom="0.75" header="0.3" footer="0.3"/>
  <pageSetup orientation="portrait" horizontalDpi="300" vertic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5" max="5" width="10.5703125" bestFit="1" customWidth="1"/>
    <col min="7" max="7" width="25.28515625" bestFit="1" customWidth="1"/>
    <col min="9" max="9" width="29.28515625" bestFit="1" customWidth="1"/>
    <col min="10" max="10" width="19.28515625" bestFit="1" customWidth="1"/>
  </cols>
  <sheetData>
    <row r="1" spans="1:5" x14ac:dyDescent="0.25">
      <c r="A1" s="5">
        <f>Summary!B21</f>
        <v>30515</v>
      </c>
      <c r="B1" s="2" t="str">
        <f>Summary!C21</f>
        <v>No name given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27">
        <v>41091</v>
      </c>
      <c r="C4" s="69">
        <f>IF(E4&gt;0,E4/D4,0)</f>
        <v>2.2990119971771348</v>
      </c>
      <c r="D4" s="57">
        <v>141.69999999999999</v>
      </c>
      <c r="E4" s="77">
        <v>325.77</v>
      </c>
    </row>
    <row r="5" spans="1:5" x14ac:dyDescent="0.25">
      <c r="B5" s="27">
        <v>41061</v>
      </c>
      <c r="C5" s="69">
        <f t="shared" ref="C5:C68" si="0">IF(E5&gt;0,E5/D5,0)</f>
        <v>0</v>
      </c>
      <c r="D5" s="57">
        <v>0</v>
      </c>
      <c r="E5" s="77"/>
    </row>
    <row r="6" spans="1:5" x14ac:dyDescent="0.25">
      <c r="B6" s="27">
        <v>41030</v>
      </c>
      <c r="C6" s="69">
        <f t="shared" si="0"/>
        <v>0</v>
      </c>
      <c r="D6" s="57">
        <v>0</v>
      </c>
      <c r="E6" s="77"/>
    </row>
    <row r="7" spans="1:5" x14ac:dyDescent="0.25">
      <c r="B7" s="27">
        <v>41000</v>
      </c>
      <c r="C7" s="69">
        <f t="shared" si="0"/>
        <v>0</v>
      </c>
      <c r="D7" s="57">
        <v>0</v>
      </c>
      <c r="E7" s="77"/>
    </row>
    <row r="8" spans="1:5" x14ac:dyDescent="0.25">
      <c r="B8" s="27">
        <v>40969</v>
      </c>
      <c r="C8" s="69">
        <f t="shared" si="0"/>
        <v>0</v>
      </c>
      <c r="D8" s="57">
        <v>0</v>
      </c>
      <c r="E8" s="77"/>
    </row>
    <row r="9" spans="1:5" x14ac:dyDescent="0.25">
      <c r="B9" s="27">
        <v>40940</v>
      </c>
      <c r="C9" s="69">
        <f t="shared" si="0"/>
        <v>0</v>
      </c>
      <c r="D9" s="74">
        <v>0</v>
      </c>
      <c r="E9" s="77"/>
    </row>
    <row r="10" spans="1:5" x14ac:dyDescent="0.25">
      <c r="B10" s="27">
        <v>40909</v>
      </c>
      <c r="C10" s="69">
        <f t="shared" si="0"/>
        <v>0</v>
      </c>
      <c r="D10" s="74">
        <v>0</v>
      </c>
      <c r="E10" s="77"/>
    </row>
    <row r="11" spans="1:5" x14ac:dyDescent="0.25">
      <c r="B11" s="27">
        <v>40878</v>
      </c>
      <c r="C11" s="69">
        <f t="shared" si="0"/>
        <v>0</v>
      </c>
      <c r="D11" s="74">
        <v>0</v>
      </c>
      <c r="E11" s="77"/>
    </row>
    <row r="12" spans="1:5" x14ac:dyDescent="0.25">
      <c r="B12" s="27">
        <v>40848</v>
      </c>
      <c r="C12" s="69">
        <f t="shared" si="0"/>
        <v>2.2948662420382164</v>
      </c>
      <c r="D12" s="74">
        <v>78.5</v>
      </c>
      <c r="E12" s="77">
        <v>180.14699999999999</v>
      </c>
    </row>
    <row r="13" spans="1:5" x14ac:dyDescent="0.25">
      <c r="B13" s="27">
        <v>40817</v>
      </c>
      <c r="C13" s="69">
        <f t="shared" si="0"/>
        <v>0</v>
      </c>
      <c r="D13" s="74">
        <v>0</v>
      </c>
      <c r="E13" s="77"/>
    </row>
    <row r="14" spans="1:5" x14ac:dyDescent="0.25">
      <c r="B14" s="27">
        <v>40787</v>
      </c>
      <c r="C14" s="69">
        <f t="shared" si="0"/>
        <v>0</v>
      </c>
      <c r="D14" s="74">
        <v>0</v>
      </c>
      <c r="E14" s="77"/>
    </row>
    <row r="15" spans="1:5" x14ac:dyDescent="0.25">
      <c r="B15" s="27">
        <v>40756</v>
      </c>
      <c r="C15" s="69">
        <f t="shared" si="0"/>
        <v>1.9989802855200545</v>
      </c>
      <c r="D15" s="74">
        <v>147.1</v>
      </c>
      <c r="E15" s="77">
        <v>294.05</v>
      </c>
    </row>
    <row r="16" spans="1:5" x14ac:dyDescent="0.25">
      <c r="B16" s="27">
        <v>40725</v>
      </c>
      <c r="C16" s="69">
        <f t="shared" si="0"/>
        <v>0</v>
      </c>
      <c r="D16" s="74">
        <v>0</v>
      </c>
      <c r="E16" s="77"/>
    </row>
    <row r="17" spans="2:11" x14ac:dyDescent="0.25">
      <c r="B17" s="27">
        <v>40695</v>
      </c>
      <c r="C17" s="69">
        <f t="shared" si="0"/>
        <v>0</v>
      </c>
      <c r="D17" s="74">
        <v>0</v>
      </c>
      <c r="E17" s="77"/>
    </row>
    <row r="18" spans="2:11" x14ac:dyDescent="0.25">
      <c r="B18" s="27">
        <v>40664</v>
      </c>
      <c r="C18" s="69">
        <f t="shared" si="0"/>
        <v>0</v>
      </c>
      <c r="D18" s="74">
        <v>0</v>
      </c>
      <c r="E18" s="77"/>
    </row>
    <row r="19" spans="2:11" x14ac:dyDescent="0.25">
      <c r="B19" s="27">
        <v>40634</v>
      </c>
      <c r="C19" s="69">
        <f t="shared" si="0"/>
        <v>0</v>
      </c>
      <c r="D19" s="74">
        <v>0</v>
      </c>
      <c r="E19" s="77"/>
    </row>
    <row r="20" spans="2:11" x14ac:dyDescent="0.25">
      <c r="B20" s="27">
        <v>40603</v>
      </c>
      <c r="C20" s="69">
        <f t="shared" si="0"/>
        <v>0</v>
      </c>
      <c r="D20" s="74">
        <v>0</v>
      </c>
      <c r="E20" s="77"/>
      <c r="G20" s="6"/>
      <c r="I20" s="6"/>
      <c r="J20" s="7"/>
      <c r="K20" s="6"/>
    </row>
    <row r="21" spans="2:11" x14ac:dyDescent="0.25">
      <c r="B21" s="27">
        <v>40575</v>
      </c>
      <c r="C21" s="69">
        <f t="shared" si="0"/>
        <v>0</v>
      </c>
      <c r="D21" s="75">
        <v>0</v>
      </c>
      <c r="E21" s="78"/>
      <c r="G21" s="6"/>
      <c r="I21" s="6"/>
      <c r="J21" s="7"/>
      <c r="K21" s="6"/>
    </row>
    <row r="22" spans="2:11" x14ac:dyDescent="0.25">
      <c r="B22" s="27">
        <v>40544</v>
      </c>
      <c r="C22" s="69">
        <f t="shared" si="0"/>
        <v>0</v>
      </c>
      <c r="D22" s="75">
        <v>0</v>
      </c>
      <c r="E22" s="78"/>
      <c r="G22" s="6"/>
      <c r="I22" s="6"/>
      <c r="J22" s="7"/>
      <c r="K22" s="6"/>
    </row>
    <row r="23" spans="2:11" x14ac:dyDescent="0.25">
      <c r="B23" s="27">
        <v>40513</v>
      </c>
      <c r="C23" s="69">
        <f t="shared" si="0"/>
        <v>0</v>
      </c>
      <c r="D23" s="75">
        <v>0</v>
      </c>
      <c r="E23" s="78"/>
      <c r="G23" s="6"/>
      <c r="I23" s="6"/>
      <c r="J23" s="7"/>
      <c r="K23" s="6"/>
    </row>
    <row r="24" spans="2:11" x14ac:dyDescent="0.25">
      <c r="B24" s="27">
        <v>40483</v>
      </c>
      <c r="C24" s="69">
        <f t="shared" si="0"/>
        <v>0</v>
      </c>
      <c r="D24" s="75">
        <v>0</v>
      </c>
      <c r="E24" s="78"/>
      <c r="G24" s="6"/>
      <c r="I24" s="6"/>
      <c r="J24" s="7"/>
      <c r="K24" s="6"/>
    </row>
    <row r="25" spans="2:11" x14ac:dyDescent="0.25">
      <c r="B25" s="27">
        <v>40452</v>
      </c>
      <c r="C25" s="69">
        <f t="shared" si="0"/>
        <v>0</v>
      </c>
      <c r="D25" s="75">
        <v>0</v>
      </c>
      <c r="E25" s="78"/>
      <c r="G25" s="6"/>
      <c r="I25" s="6"/>
      <c r="J25" s="7"/>
      <c r="K25" s="6"/>
    </row>
    <row r="26" spans="2:11" x14ac:dyDescent="0.25">
      <c r="B26" s="27">
        <v>40422</v>
      </c>
      <c r="C26" s="69">
        <f t="shared" si="0"/>
        <v>1.9989764585465712</v>
      </c>
      <c r="D26" s="75">
        <v>97.7</v>
      </c>
      <c r="E26" s="78">
        <v>195.3</v>
      </c>
      <c r="G26" s="6"/>
      <c r="I26" s="6"/>
      <c r="J26" s="7"/>
      <c r="K26" s="6"/>
    </row>
    <row r="27" spans="2:11" x14ac:dyDescent="0.25">
      <c r="B27" s="27">
        <v>40391</v>
      </c>
      <c r="C27" s="69">
        <f t="shared" si="0"/>
        <v>0</v>
      </c>
      <c r="D27" s="75">
        <v>0</v>
      </c>
      <c r="E27" s="78"/>
      <c r="G27" s="6"/>
      <c r="I27" s="6"/>
      <c r="J27" s="10"/>
      <c r="K27" s="6"/>
    </row>
    <row r="28" spans="2:11" x14ac:dyDescent="0.25">
      <c r="B28" s="27">
        <v>40360</v>
      </c>
      <c r="C28" s="69">
        <f t="shared" si="0"/>
        <v>0</v>
      </c>
      <c r="D28" s="75">
        <v>0</v>
      </c>
      <c r="E28" s="78"/>
      <c r="G28" s="6"/>
      <c r="I28" s="6"/>
      <c r="J28" s="10"/>
      <c r="K28" s="6"/>
    </row>
    <row r="29" spans="2:11" x14ac:dyDescent="0.25">
      <c r="B29" s="27">
        <v>40330</v>
      </c>
      <c r="C29" s="69">
        <f t="shared" si="0"/>
        <v>1.9989932885906039</v>
      </c>
      <c r="D29" s="75">
        <v>59.6</v>
      </c>
      <c r="E29" s="78">
        <v>119.14</v>
      </c>
      <c r="G29" s="6"/>
      <c r="I29" s="6"/>
      <c r="J29" s="10"/>
      <c r="K29" s="6"/>
    </row>
    <row r="30" spans="2:11" x14ac:dyDescent="0.25">
      <c r="B30" s="27">
        <v>40299</v>
      </c>
      <c r="C30" s="69">
        <f t="shared" si="0"/>
        <v>0</v>
      </c>
      <c r="D30" s="75">
        <v>0</v>
      </c>
      <c r="E30" s="78"/>
      <c r="G30" s="6"/>
      <c r="I30" s="6"/>
      <c r="J30" s="7"/>
      <c r="K30" s="6"/>
    </row>
    <row r="31" spans="2:11" x14ac:dyDescent="0.25">
      <c r="B31" s="27">
        <v>40269</v>
      </c>
      <c r="C31" s="69">
        <f t="shared" si="0"/>
        <v>0</v>
      </c>
      <c r="D31" s="75">
        <v>0</v>
      </c>
      <c r="E31" s="78"/>
      <c r="G31" s="6"/>
      <c r="I31" s="6"/>
      <c r="J31" s="7"/>
      <c r="K31" s="6"/>
    </row>
    <row r="32" spans="2:11" x14ac:dyDescent="0.25">
      <c r="B32" s="27">
        <v>40238</v>
      </c>
      <c r="C32" s="69">
        <f t="shared" si="0"/>
        <v>0</v>
      </c>
      <c r="D32" s="75">
        <v>0</v>
      </c>
      <c r="E32" s="78"/>
      <c r="G32" s="6"/>
      <c r="I32" s="6"/>
      <c r="J32" s="7"/>
      <c r="K32" s="6"/>
    </row>
    <row r="33" spans="2:11" x14ac:dyDescent="0.25">
      <c r="B33" s="27">
        <v>40210</v>
      </c>
      <c r="C33" s="69">
        <f t="shared" si="0"/>
        <v>0</v>
      </c>
      <c r="D33" s="75">
        <v>0</v>
      </c>
      <c r="E33" s="78"/>
      <c r="G33" s="6"/>
      <c r="I33" s="6"/>
      <c r="J33" s="7"/>
      <c r="K33" s="6"/>
    </row>
    <row r="34" spans="2:11" x14ac:dyDescent="0.25">
      <c r="B34" s="27">
        <v>40179</v>
      </c>
      <c r="C34" s="69">
        <f t="shared" si="0"/>
        <v>0</v>
      </c>
      <c r="D34" s="75">
        <v>0</v>
      </c>
      <c r="E34" s="78"/>
      <c r="G34" s="6"/>
      <c r="I34" s="6"/>
      <c r="J34" s="7"/>
      <c r="K34" s="6"/>
    </row>
    <row r="35" spans="2:11" x14ac:dyDescent="0.25">
      <c r="B35" s="27">
        <v>40148</v>
      </c>
      <c r="C35" s="69">
        <f t="shared" si="0"/>
        <v>0</v>
      </c>
      <c r="D35" s="75">
        <v>0</v>
      </c>
      <c r="E35" s="78"/>
      <c r="G35" s="6"/>
      <c r="I35" s="6"/>
      <c r="J35" s="7"/>
      <c r="K35" s="6"/>
    </row>
    <row r="36" spans="2:11" x14ac:dyDescent="0.25">
      <c r="B36" s="27">
        <v>40118</v>
      </c>
      <c r="C36" s="69">
        <f t="shared" si="0"/>
        <v>0</v>
      </c>
      <c r="D36" s="75">
        <v>0</v>
      </c>
      <c r="E36" s="78"/>
      <c r="G36" s="6"/>
      <c r="I36" s="6"/>
      <c r="J36" s="7"/>
      <c r="K36" s="6"/>
    </row>
    <row r="37" spans="2:11" x14ac:dyDescent="0.25">
      <c r="B37" s="27">
        <v>40087</v>
      </c>
      <c r="C37" s="69">
        <f t="shared" si="0"/>
        <v>0</v>
      </c>
      <c r="D37" s="75">
        <v>0</v>
      </c>
      <c r="E37" s="78"/>
      <c r="G37" s="6"/>
      <c r="I37" s="6"/>
      <c r="J37" s="7"/>
      <c r="K37" s="6"/>
    </row>
    <row r="38" spans="2:11" x14ac:dyDescent="0.25">
      <c r="B38" s="27">
        <v>40057</v>
      </c>
      <c r="C38" s="69">
        <f t="shared" si="0"/>
        <v>1.7989498249708282</v>
      </c>
      <c r="D38" s="75">
        <v>85.7</v>
      </c>
      <c r="E38" s="78">
        <v>154.16999999999999</v>
      </c>
      <c r="G38" s="6"/>
      <c r="I38" s="6"/>
      <c r="J38" s="7"/>
      <c r="K38" s="6"/>
    </row>
    <row r="39" spans="2:11" x14ac:dyDescent="0.25">
      <c r="B39" s="27">
        <v>40026</v>
      </c>
      <c r="C39" s="69">
        <f t="shared" si="0"/>
        <v>0</v>
      </c>
      <c r="D39" s="75">
        <v>0</v>
      </c>
      <c r="E39" s="78"/>
      <c r="G39" s="6"/>
      <c r="I39" s="6"/>
      <c r="J39" s="10"/>
      <c r="K39" s="6"/>
    </row>
    <row r="40" spans="2:11" x14ac:dyDescent="0.25">
      <c r="B40" s="27">
        <v>39995</v>
      </c>
      <c r="C40" s="69">
        <f t="shared" si="0"/>
        <v>1.699003984063745</v>
      </c>
      <c r="D40" s="75">
        <v>100.4</v>
      </c>
      <c r="E40" s="78">
        <v>170.58</v>
      </c>
      <c r="G40" s="6"/>
      <c r="I40" s="6"/>
      <c r="J40" s="10"/>
      <c r="K40" s="6"/>
    </row>
    <row r="41" spans="2:11" x14ac:dyDescent="0.25">
      <c r="B41" s="27">
        <v>39965</v>
      </c>
      <c r="C41" s="69">
        <f t="shared" si="0"/>
        <v>0</v>
      </c>
      <c r="D41" s="75">
        <v>0</v>
      </c>
      <c r="E41" s="78"/>
      <c r="G41" s="6"/>
      <c r="I41" s="6"/>
      <c r="J41" s="10"/>
      <c r="K41" s="6"/>
    </row>
    <row r="42" spans="2:11" x14ac:dyDescent="0.25">
      <c r="B42" s="27">
        <v>39934</v>
      </c>
      <c r="C42" s="69">
        <f t="shared" si="0"/>
        <v>0</v>
      </c>
      <c r="D42" s="75">
        <v>0</v>
      </c>
      <c r="E42" s="78"/>
      <c r="G42" s="6"/>
      <c r="I42" s="6"/>
      <c r="J42" s="10"/>
      <c r="K42" s="6"/>
    </row>
    <row r="43" spans="2:11" x14ac:dyDescent="0.25">
      <c r="B43" s="27">
        <v>39904</v>
      </c>
      <c r="C43" s="69">
        <f t="shared" si="0"/>
        <v>0</v>
      </c>
      <c r="D43" s="75">
        <v>0</v>
      </c>
      <c r="E43" s="78"/>
      <c r="G43" s="6"/>
      <c r="I43" s="6"/>
      <c r="J43" s="10"/>
      <c r="K43" s="6"/>
    </row>
    <row r="44" spans="2:11" x14ac:dyDescent="0.25">
      <c r="B44" s="27">
        <v>39873</v>
      </c>
      <c r="C44" s="69">
        <f t="shared" si="0"/>
        <v>0</v>
      </c>
      <c r="D44" s="75">
        <v>0</v>
      </c>
      <c r="E44" s="78"/>
      <c r="G44" s="6"/>
      <c r="I44" s="6"/>
      <c r="J44" s="10"/>
      <c r="K44" s="6"/>
    </row>
    <row r="45" spans="2:11" x14ac:dyDescent="0.25">
      <c r="B45" s="27">
        <v>39845</v>
      </c>
      <c r="C45" s="69">
        <f t="shared" si="0"/>
        <v>0</v>
      </c>
      <c r="D45" s="75">
        <v>0</v>
      </c>
      <c r="E45" s="78"/>
      <c r="G45" s="6"/>
      <c r="I45" s="6"/>
      <c r="J45" s="10"/>
      <c r="K45" s="6"/>
    </row>
    <row r="46" spans="2:11" x14ac:dyDescent="0.25">
      <c r="B46" s="27">
        <v>39814</v>
      </c>
      <c r="C46" s="69">
        <f t="shared" si="0"/>
        <v>0</v>
      </c>
      <c r="D46" s="75">
        <v>0</v>
      </c>
      <c r="E46" s="78"/>
      <c r="G46" s="6"/>
      <c r="I46" s="6"/>
      <c r="J46" s="10"/>
      <c r="K46" s="6"/>
    </row>
    <row r="47" spans="2:11" x14ac:dyDescent="0.25">
      <c r="B47" s="27">
        <v>39783</v>
      </c>
      <c r="C47" s="69">
        <f t="shared" si="0"/>
        <v>0</v>
      </c>
      <c r="D47" s="75">
        <v>0</v>
      </c>
      <c r="E47" s="78"/>
      <c r="G47" s="6"/>
      <c r="I47" s="6"/>
      <c r="J47" s="10"/>
      <c r="K47" s="6"/>
    </row>
    <row r="48" spans="2:11" x14ac:dyDescent="0.25">
      <c r="B48" s="27">
        <v>39753</v>
      </c>
      <c r="C48" s="69">
        <f t="shared" si="0"/>
        <v>0</v>
      </c>
      <c r="D48" s="75">
        <v>0</v>
      </c>
      <c r="E48" s="78"/>
      <c r="G48" s="6"/>
      <c r="I48" s="6"/>
      <c r="J48" s="10"/>
      <c r="K48" s="6"/>
    </row>
    <row r="49" spans="2:11" x14ac:dyDescent="0.25">
      <c r="B49" s="27">
        <v>39722</v>
      </c>
      <c r="C49" s="69">
        <f t="shared" si="0"/>
        <v>0</v>
      </c>
      <c r="D49" s="75">
        <v>0</v>
      </c>
      <c r="E49" s="78"/>
      <c r="G49" s="6"/>
      <c r="I49" s="6"/>
      <c r="J49" s="10"/>
      <c r="K49" s="6"/>
    </row>
    <row r="50" spans="2:11" x14ac:dyDescent="0.25">
      <c r="B50" s="27">
        <v>39692</v>
      </c>
      <c r="C50" s="69">
        <f t="shared" si="0"/>
        <v>2.4989808917197451</v>
      </c>
      <c r="D50" s="75">
        <v>78.5</v>
      </c>
      <c r="E50" s="78">
        <v>196.17</v>
      </c>
      <c r="G50" s="6"/>
      <c r="I50" s="6"/>
      <c r="J50" s="10"/>
      <c r="K50" s="6"/>
    </row>
    <row r="51" spans="2:11" x14ac:dyDescent="0.25">
      <c r="B51" s="27">
        <v>39661</v>
      </c>
      <c r="C51" s="69">
        <f t="shared" si="0"/>
        <v>0</v>
      </c>
      <c r="D51" s="75">
        <v>0</v>
      </c>
      <c r="E51" s="78"/>
      <c r="G51" s="6"/>
      <c r="I51" s="6"/>
      <c r="J51" s="10"/>
      <c r="K51" s="6"/>
    </row>
    <row r="52" spans="2:11" x14ac:dyDescent="0.25">
      <c r="B52" s="27">
        <v>39630</v>
      </c>
      <c r="C52" s="69">
        <f t="shared" si="0"/>
        <v>2.4989949748743721</v>
      </c>
      <c r="D52" s="75">
        <v>99.5</v>
      </c>
      <c r="E52" s="78">
        <v>248.65</v>
      </c>
      <c r="G52" s="6"/>
      <c r="I52" s="6"/>
      <c r="J52" s="10"/>
      <c r="K52" s="6"/>
    </row>
    <row r="53" spans="2:11" x14ac:dyDescent="0.25">
      <c r="B53" s="27">
        <v>39600</v>
      </c>
      <c r="C53" s="69">
        <f t="shared" si="0"/>
        <v>0</v>
      </c>
      <c r="D53" s="75">
        <v>0</v>
      </c>
      <c r="E53" s="78"/>
      <c r="G53" s="6"/>
      <c r="I53" s="6"/>
      <c r="J53" s="10"/>
      <c r="K53" s="6"/>
    </row>
    <row r="54" spans="2:11" x14ac:dyDescent="0.25">
      <c r="B54" s="27">
        <v>39569</v>
      </c>
      <c r="C54" s="69">
        <f t="shared" si="0"/>
        <v>0</v>
      </c>
      <c r="D54" s="75">
        <v>0</v>
      </c>
      <c r="E54" s="78"/>
      <c r="G54" s="6"/>
      <c r="I54" s="6"/>
      <c r="J54" s="7"/>
      <c r="K54" s="6"/>
    </row>
    <row r="55" spans="2:11" x14ac:dyDescent="0.25">
      <c r="B55" s="27">
        <v>39539</v>
      </c>
      <c r="C55" s="69">
        <f t="shared" si="0"/>
        <v>0</v>
      </c>
      <c r="D55" s="75">
        <v>0</v>
      </c>
      <c r="E55" s="78"/>
      <c r="G55" s="6"/>
      <c r="I55" s="6"/>
      <c r="J55" s="7"/>
      <c r="K55" s="6"/>
    </row>
    <row r="56" spans="2:11" x14ac:dyDescent="0.25">
      <c r="B56" s="27">
        <v>39508</v>
      </c>
      <c r="C56" s="69">
        <f t="shared" si="0"/>
        <v>0</v>
      </c>
      <c r="D56" s="75">
        <v>0</v>
      </c>
      <c r="E56" s="78"/>
      <c r="G56" s="6"/>
      <c r="I56" s="6"/>
      <c r="J56" s="10"/>
    </row>
    <row r="57" spans="2:11" x14ac:dyDescent="0.25">
      <c r="B57" s="27">
        <v>39479</v>
      </c>
      <c r="C57" s="69">
        <f t="shared" si="0"/>
        <v>0</v>
      </c>
      <c r="D57" s="75">
        <v>0</v>
      </c>
      <c r="E57" s="78"/>
      <c r="G57" s="6"/>
      <c r="I57" s="6"/>
      <c r="J57" s="10"/>
    </row>
    <row r="58" spans="2:11" x14ac:dyDescent="0.25">
      <c r="B58" s="27">
        <v>39448</v>
      </c>
      <c r="C58" s="69">
        <f t="shared" si="0"/>
        <v>0</v>
      </c>
      <c r="D58" s="75">
        <v>0</v>
      </c>
      <c r="E58" s="78"/>
      <c r="G58" s="6"/>
      <c r="I58" s="6"/>
      <c r="J58" s="10"/>
    </row>
    <row r="59" spans="2:11" x14ac:dyDescent="0.25">
      <c r="B59" s="27">
        <v>39417</v>
      </c>
      <c r="C59" s="69">
        <f t="shared" si="0"/>
        <v>0</v>
      </c>
      <c r="D59" s="75">
        <v>0</v>
      </c>
      <c r="E59" s="78"/>
      <c r="G59" s="6"/>
      <c r="I59" s="6"/>
      <c r="J59" s="10"/>
    </row>
    <row r="60" spans="2:11" x14ac:dyDescent="0.25">
      <c r="B60" s="27">
        <v>39387</v>
      </c>
      <c r="C60" s="69">
        <f t="shared" si="0"/>
        <v>0</v>
      </c>
      <c r="D60" s="75">
        <v>0</v>
      </c>
      <c r="E60" s="78"/>
      <c r="G60" s="6"/>
      <c r="I60" s="6"/>
      <c r="J60" s="7"/>
      <c r="K60" s="6"/>
    </row>
    <row r="61" spans="2:11" x14ac:dyDescent="0.25">
      <c r="B61" s="27">
        <v>39356</v>
      </c>
      <c r="C61" s="69">
        <f t="shared" si="0"/>
        <v>0</v>
      </c>
      <c r="D61" s="75">
        <v>0</v>
      </c>
      <c r="E61" s="78"/>
      <c r="G61" s="6"/>
      <c r="I61" s="6"/>
      <c r="J61" s="7"/>
      <c r="K61" s="6"/>
    </row>
    <row r="62" spans="2:11" x14ac:dyDescent="0.25">
      <c r="B62" s="27">
        <v>39326</v>
      </c>
      <c r="C62" s="69">
        <f t="shared" si="0"/>
        <v>0</v>
      </c>
      <c r="D62" s="75">
        <v>0</v>
      </c>
      <c r="E62" s="78"/>
      <c r="G62" s="6"/>
      <c r="I62" s="6"/>
      <c r="J62" s="7"/>
      <c r="K62" s="6"/>
    </row>
    <row r="63" spans="2:11" x14ac:dyDescent="0.25">
      <c r="B63" s="27">
        <v>39295</v>
      </c>
      <c r="C63" s="69">
        <f t="shared" si="0"/>
        <v>1.6489690721649484</v>
      </c>
      <c r="D63" s="75">
        <v>97</v>
      </c>
      <c r="E63" s="78">
        <v>159.94999999999999</v>
      </c>
      <c r="G63" s="6"/>
      <c r="I63" s="6"/>
      <c r="J63" s="7"/>
      <c r="K63" s="6"/>
    </row>
    <row r="64" spans="2:11" x14ac:dyDescent="0.25">
      <c r="B64" s="27">
        <v>39264</v>
      </c>
      <c r="C64" s="69">
        <f t="shared" si="0"/>
        <v>0</v>
      </c>
      <c r="D64" s="75">
        <v>0</v>
      </c>
      <c r="E64" s="78"/>
      <c r="G64" s="6"/>
      <c r="I64" s="6"/>
      <c r="J64" s="10"/>
      <c r="K64" s="6"/>
    </row>
    <row r="65" spans="2:11" x14ac:dyDescent="0.25">
      <c r="B65" s="27">
        <v>39234</v>
      </c>
      <c r="C65" s="69">
        <f t="shared" si="0"/>
        <v>0</v>
      </c>
      <c r="D65" s="75">
        <v>0</v>
      </c>
      <c r="E65" s="78"/>
      <c r="G65" s="6"/>
      <c r="I65" s="6"/>
      <c r="J65" s="10"/>
      <c r="K65" s="6"/>
    </row>
    <row r="66" spans="2:11" x14ac:dyDescent="0.25">
      <c r="B66" s="27">
        <v>39203</v>
      </c>
      <c r="C66" s="69">
        <f t="shared" si="0"/>
        <v>0</v>
      </c>
      <c r="D66" s="75">
        <v>0</v>
      </c>
      <c r="E66" s="78"/>
      <c r="G66" s="6"/>
      <c r="I66" s="6"/>
      <c r="J66" s="10"/>
      <c r="K66" s="6"/>
    </row>
    <row r="67" spans="2:11" x14ac:dyDescent="0.25">
      <c r="B67" s="27">
        <v>39173</v>
      </c>
      <c r="C67" s="69">
        <f t="shared" si="0"/>
        <v>0</v>
      </c>
      <c r="D67" s="75">
        <v>0</v>
      </c>
      <c r="E67" s="78"/>
      <c r="G67" s="6"/>
      <c r="I67" s="6"/>
      <c r="J67" s="7"/>
      <c r="K67" s="6"/>
    </row>
    <row r="68" spans="2:11" x14ac:dyDescent="0.25">
      <c r="B68" s="27">
        <v>39142</v>
      </c>
      <c r="C68" s="69">
        <f t="shared" si="0"/>
        <v>0</v>
      </c>
      <c r="D68" s="75">
        <v>0</v>
      </c>
      <c r="E68" s="78"/>
      <c r="G68" s="6"/>
      <c r="I68" s="6"/>
      <c r="J68" s="10"/>
      <c r="K68" s="6"/>
    </row>
    <row r="69" spans="2:11" x14ac:dyDescent="0.25">
      <c r="B69" s="27">
        <v>39114</v>
      </c>
      <c r="C69" s="69">
        <f t="shared" ref="C69:C70" si="1">IF(E69&gt;0,E69/D69,0)</f>
        <v>0</v>
      </c>
      <c r="D69" s="75">
        <v>0</v>
      </c>
      <c r="E69" s="78"/>
      <c r="G69" s="6"/>
      <c r="I69" s="6"/>
      <c r="J69" s="10"/>
      <c r="K69" s="6"/>
    </row>
    <row r="70" spans="2:11" x14ac:dyDescent="0.25">
      <c r="B70" s="27">
        <v>39083</v>
      </c>
      <c r="C70" s="69">
        <f t="shared" si="1"/>
        <v>0</v>
      </c>
      <c r="D70" s="75">
        <v>0</v>
      </c>
      <c r="E70" s="78"/>
      <c r="G70" s="6"/>
      <c r="I70" s="6"/>
      <c r="J70" s="7"/>
      <c r="K70" s="6"/>
    </row>
    <row r="72" spans="2:11" x14ac:dyDescent="0.25">
      <c r="B72" s="10" t="s">
        <v>6</v>
      </c>
      <c r="D72" s="28">
        <f>SUM(D4:D70)</f>
        <v>985.69999999999993</v>
      </c>
      <c r="E72" s="3">
        <f>SUM(E4:E70)</f>
        <v>2043.9270000000004</v>
      </c>
    </row>
  </sheetData>
  <hyperlinks>
    <hyperlink ref="A1" location="a34098471" display="a34098471"/>
  </hyperlink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B4" sqref="B4"/>
    </sheetView>
  </sheetViews>
  <sheetFormatPr defaultRowHeight="15" x14ac:dyDescent="0.25"/>
  <cols>
    <col min="2" max="2" width="11" bestFit="1" customWidth="1"/>
    <col min="5" max="5" width="10.5703125" bestFit="1" customWidth="1"/>
    <col min="7" max="7" width="25.28515625" bestFit="1" customWidth="1"/>
    <col min="9" max="9" width="19.140625" bestFit="1" customWidth="1"/>
    <col min="10" max="10" width="13.85546875" bestFit="1" customWidth="1"/>
    <col min="11" max="11" width="9.42578125" customWidth="1"/>
  </cols>
  <sheetData>
    <row r="1" spans="1:5" x14ac:dyDescent="0.25">
      <c r="A1" s="5">
        <f>Summary!B22</f>
        <v>30517</v>
      </c>
      <c r="B1" s="2" t="str">
        <f>Summary!C22</f>
        <v>007086   NC Laundry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27">
        <v>41091</v>
      </c>
      <c r="C4" s="69">
        <f>IF(E4&gt;0,E4/D4,0)</f>
        <v>2.2989844278943807</v>
      </c>
      <c r="D4" s="57">
        <v>147.69999999999999</v>
      </c>
      <c r="E4" s="77">
        <v>339.56</v>
      </c>
    </row>
    <row r="5" spans="1:5" x14ac:dyDescent="0.25">
      <c r="B5" s="27">
        <v>41061</v>
      </c>
      <c r="C5" s="69">
        <f t="shared" ref="C5:C68" si="0">IF(E5&gt;0,E5/D5,0)</f>
        <v>2.2989920806335493</v>
      </c>
      <c r="D5" s="57">
        <v>138.9</v>
      </c>
      <c r="E5" s="77">
        <v>319.33</v>
      </c>
    </row>
    <row r="6" spans="1:5" x14ac:dyDescent="0.25">
      <c r="B6" s="27">
        <v>41030</v>
      </c>
      <c r="C6" s="69">
        <f t="shared" si="0"/>
        <v>0</v>
      </c>
      <c r="D6" s="57">
        <v>0</v>
      </c>
      <c r="E6" s="77"/>
    </row>
    <row r="7" spans="1:5" x14ac:dyDescent="0.25">
      <c r="B7" s="27">
        <v>41000</v>
      </c>
      <c r="C7" s="69">
        <f t="shared" si="0"/>
        <v>0</v>
      </c>
      <c r="D7" s="57">
        <v>0</v>
      </c>
      <c r="E7" s="77"/>
    </row>
    <row r="8" spans="1:5" x14ac:dyDescent="0.25">
      <c r="B8" s="27">
        <v>40969</v>
      </c>
      <c r="C8" s="69">
        <f t="shared" si="0"/>
        <v>0</v>
      </c>
      <c r="D8" s="57">
        <v>0</v>
      </c>
      <c r="E8" s="77"/>
    </row>
    <row r="9" spans="1:5" x14ac:dyDescent="0.25">
      <c r="B9" s="27">
        <v>40940</v>
      </c>
      <c r="C9" s="69">
        <f t="shared" si="0"/>
        <v>0</v>
      </c>
      <c r="D9" s="77">
        <v>0</v>
      </c>
      <c r="E9" s="77"/>
    </row>
    <row r="10" spans="1:5" x14ac:dyDescent="0.25">
      <c r="B10" s="27">
        <v>40909</v>
      </c>
      <c r="C10" s="69">
        <f t="shared" si="0"/>
        <v>0</v>
      </c>
      <c r="D10" s="77">
        <v>0</v>
      </c>
      <c r="E10" s="77"/>
    </row>
    <row r="11" spans="1:5" x14ac:dyDescent="0.25">
      <c r="B11" s="27">
        <v>40878</v>
      </c>
      <c r="C11" s="69">
        <f t="shared" si="0"/>
        <v>0</v>
      </c>
      <c r="D11" s="77">
        <v>0</v>
      </c>
      <c r="E11" s="77"/>
    </row>
    <row r="12" spans="1:5" x14ac:dyDescent="0.25">
      <c r="B12" s="27">
        <v>40848</v>
      </c>
      <c r="C12" s="69">
        <f t="shared" si="0"/>
        <v>0</v>
      </c>
      <c r="D12" s="77">
        <v>0</v>
      </c>
      <c r="E12" s="77"/>
    </row>
    <row r="13" spans="1:5" x14ac:dyDescent="0.25">
      <c r="B13" s="27">
        <v>40817</v>
      </c>
      <c r="C13" s="69">
        <f t="shared" si="0"/>
        <v>0</v>
      </c>
      <c r="D13" s="77">
        <v>0</v>
      </c>
      <c r="E13" s="77"/>
    </row>
    <row r="14" spans="1:5" x14ac:dyDescent="0.25">
      <c r="B14" s="27">
        <v>40787</v>
      </c>
      <c r="C14" s="69">
        <f t="shared" si="0"/>
        <v>2.2990092470277408</v>
      </c>
      <c r="D14" s="77">
        <v>151.4</v>
      </c>
      <c r="E14" s="77">
        <v>348.07</v>
      </c>
    </row>
    <row r="15" spans="1:5" x14ac:dyDescent="0.25">
      <c r="B15" s="27">
        <v>40756</v>
      </c>
      <c r="C15" s="69">
        <f t="shared" si="0"/>
        <v>1.9989781699953553</v>
      </c>
      <c r="D15" s="77">
        <v>215.3</v>
      </c>
      <c r="E15" s="77">
        <v>430.38</v>
      </c>
    </row>
    <row r="16" spans="1:5" x14ac:dyDescent="0.25">
      <c r="B16" s="27">
        <v>40725</v>
      </c>
      <c r="C16" s="69">
        <f t="shared" si="0"/>
        <v>1.9990027198549412</v>
      </c>
      <c r="D16" s="77">
        <v>220.6</v>
      </c>
      <c r="E16" s="77">
        <v>440.98</v>
      </c>
    </row>
    <row r="17" spans="2:11" x14ac:dyDescent="0.25">
      <c r="B17" s="27">
        <v>40695</v>
      </c>
      <c r="C17" s="69">
        <f t="shared" si="0"/>
        <v>0</v>
      </c>
      <c r="D17" s="77">
        <v>0</v>
      </c>
      <c r="E17" s="77"/>
    </row>
    <row r="18" spans="2:11" x14ac:dyDescent="0.25">
      <c r="B18" s="27">
        <v>40664</v>
      </c>
      <c r="C18" s="69">
        <f t="shared" si="0"/>
        <v>0</v>
      </c>
      <c r="D18" s="77">
        <v>0</v>
      </c>
      <c r="E18" s="77"/>
    </row>
    <row r="19" spans="2:11" x14ac:dyDescent="0.25">
      <c r="B19" s="27">
        <v>40634</v>
      </c>
      <c r="C19" s="69">
        <f t="shared" si="0"/>
        <v>0</v>
      </c>
      <c r="D19" s="77">
        <v>0</v>
      </c>
      <c r="E19" s="77"/>
    </row>
    <row r="20" spans="2:11" x14ac:dyDescent="0.25">
      <c r="B20" s="27">
        <v>40603</v>
      </c>
      <c r="C20" s="69">
        <f t="shared" si="0"/>
        <v>0</v>
      </c>
      <c r="D20" s="77">
        <v>0</v>
      </c>
      <c r="E20" s="77"/>
      <c r="G20" s="6"/>
      <c r="I20" s="6"/>
      <c r="J20" s="7"/>
      <c r="K20" s="6"/>
    </row>
    <row r="21" spans="2:11" x14ac:dyDescent="0.25">
      <c r="B21" s="27">
        <v>40575</v>
      </c>
      <c r="C21" s="69">
        <f t="shared" si="0"/>
        <v>0</v>
      </c>
      <c r="D21" s="78">
        <v>0</v>
      </c>
      <c r="E21" s="78"/>
      <c r="G21" s="6"/>
      <c r="I21" s="6"/>
      <c r="J21" s="10"/>
      <c r="K21" s="6"/>
    </row>
    <row r="22" spans="2:11" x14ac:dyDescent="0.25">
      <c r="B22" s="27">
        <v>40544</v>
      </c>
      <c r="C22" s="69">
        <f t="shared" si="0"/>
        <v>0</v>
      </c>
      <c r="D22" s="78">
        <v>0</v>
      </c>
      <c r="E22" s="78"/>
      <c r="G22" s="6"/>
      <c r="I22" s="6"/>
      <c r="J22" s="7"/>
      <c r="K22" s="6"/>
    </row>
    <row r="23" spans="2:11" x14ac:dyDescent="0.25">
      <c r="B23" s="27">
        <v>40513</v>
      </c>
      <c r="C23" s="69">
        <f t="shared" si="0"/>
        <v>0</v>
      </c>
      <c r="D23" s="78">
        <v>0</v>
      </c>
      <c r="E23" s="78"/>
      <c r="G23" s="6"/>
      <c r="I23" s="6"/>
      <c r="J23" s="7"/>
      <c r="K23" s="6"/>
    </row>
    <row r="24" spans="2:11" x14ac:dyDescent="0.25">
      <c r="B24" s="27">
        <v>40483</v>
      </c>
      <c r="C24" s="69">
        <f t="shared" si="0"/>
        <v>0</v>
      </c>
      <c r="D24" s="78">
        <v>0</v>
      </c>
      <c r="E24" s="78"/>
      <c r="G24" s="6"/>
      <c r="I24" s="6"/>
      <c r="J24" s="7"/>
      <c r="K24" s="6"/>
    </row>
    <row r="25" spans="2:11" x14ac:dyDescent="0.25">
      <c r="B25" s="27">
        <v>40452</v>
      </c>
      <c r="C25" s="69">
        <f t="shared" si="0"/>
        <v>0</v>
      </c>
      <c r="D25" s="78">
        <v>0</v>
      </c>
      <c r="E25" s="78"/>
      <c r="G25" s="6"/>
      <c r="I25" s="6"/>
      <c r="J25" s="7"/>
      <c r="K25" s="6"/>
    </row>
    <row r="26" spans="2:11" x14ac:dyDescent="0.25">
      <c r="B26" s="27">
        <v>40422</v>
      </c>
      <c r="C26" s="69">
        <f t="shared" si="0"/>
        <v>1.9989999999999999</v>
      </c>
      <c r="D26" s="78">
        <v>240</v>
      </c>
      <c r="E26" s="78">
        <v>479.76</v>
      </c>
      <c r="G26" s="6"/>
      <c r="I26" s="6"/>
      <c r="J26" s="7"/>
      <c r="K26" s="6"/>
    </row>
    <row r="27" spans="2:11" x14ac:dyDescent="0.25">
      <c r="B27" s="27">
        <v>40391</v>
      </c>
      <c r="C27" s="69">
        <f t="shared" si="0"/>
        <v>1.9990125332320547</v>
      </c>
      <c r="D27" s="78">
        <v>263.3</v>
      </c>
      <c r="E27" s="78">
        <v>526.34</v>
      </c>
      <c r="G27" s="6"/>
      <c r="I27" s="6"/>
      <c r="J27" s="7"/>
      <c r="K27" s="6"/>
    </row>
    <row r="28" spans="2:11" x14ac:dyDescent="0.25">
      <c r="B28" s="27">
        <v>40360</v>
      </c>
      <c r="C28" s="69">
        <f t="shared" si="0"/>
        <v>0</v>
      </c>
      <c r="D28" s="78">
        <v>0</v>
      </c>
      <c r="E28" s="78"/>
      <c r="G28" s="6"/>
      <c r="I28" s="6"/>
      <c r="J28" s="7"/>
      <c r="K28" s="6"/>
    </row>
    <row r="29" spans="2:11" x14ac:dyDescent="0.25">
      <c r="B29" s="27">
        <v>40330</v>
      </c>
      <c r="C29" s="69">
        <f t="shared" si="0"/>
        <v>1.9990157480314958</v>
      </c>
      <c r="D29" s="78">
        <v>152.4</v>
      </c>
      <c r="E29" s="78">
        <v>304.64999999999998</v>
      </c>
      <c r="G29" s="6"/>
      <c r="I29" s="6"/>
      <c r="J29" s="7"/>
      <c r="K29" s="6"/>
    </row>
    <row r="30" spans="2:11" x14ac:dyDescent="0.25">
      <c r="B30" s="27">
        <v>40299</v>
      </c>
      <c r="C30" s="69">
        <f t="shared" si="0"/>
        <v>0</v>
      </c>
      <c r="D30" s="78">
        <v>0</v>
      </c>
      <c r="E30" s="78"/>
      <c r="G30" s="6"/>
      <c r="I30" s="6"/>
      <c r="J30" s="7"/>
      <c r="K30" s="6"/>
    </row>
    <row r="31" spans="2:11" x14ac:dyDescent="0.25">
      <c r="B31" s="27">
        <v>40269</v>
      </c>
      <c r="C31" s="69">
        <f t="shared" si="0"/>
        <v>0</v>
      </c>
      <c r="D31" s="78">
        <v>0</v>
      </c>
      <c r="E31" s="78"/>
      <c r="G31" s="6"/>
      <c r="I31" s="6"/>
      <c r="J31" s="7"/>
      <c r="K31" s="6"/>
    </row>
    <row r="32" spans="2:11" x14ac:dyDescent="0.25">
      <c r="B32" s="27">
        <v>40238</v>
      </c>
      <c r="C32" s="69">
        <f t="shared" si="0"/>
        <v>0</v>
      </c>
      <c r="D32" s="78">
        <v>0</v>
      </c>
      <c r="E32" s="78"/>
      <c r="G32" s="6"/>
      <c r="I32" s="6"/>
      <c r="J32" s="7"/>
      <c r="K32" s="6"/>
    </row>
    <row r="33" spans="2:11" x14ac:dyDescent="0.25">
      <c r="B33" s="27">
        <v>40210</v>
      </c>
      <c r="C33" s="69">
        <f t="shared" si="0"/>
        <v>0</v>
      </c>
      <c r="D33" s="78">
        <v>0</v>
      </c>
      <c r="E33" s="78"/>
      <c r="G33" s="6"/>
      <c r="I33" s="6"/>
      <c r="J33" s="7"/>
      <c r="K33" s="6"/>
    </row>
    <row r="34" spans="2:11" x14ac:dyDescent="0.25">
      <c r="B34" s="27">
        <v>40179</v>
      </c>
      <c r="C34" s="69">
        <f t="shared" si="0"/>
        <v>0</v>
      </c>
      <c r="D34" s="78">
        <v>0</v>
      </c>
      <c r="E34" s="78"/>
      <c r="G34" s="6"/>
      <c r="I34" s="6"/>
      <c r="J34" s="7"/>
      <c r="K34" s="6"/>
    </row>
    <row r="35" spans="2:11" x14ac:dyDescent="0.25">
      <c r="B35" s="27">
        <v>40148</v>
      </c>
      <c r="C35" s="69">
        <f t="shared" si="0"/>
        <v>0</v>
      </c>
      <c r="D35" s="78">
        <v>0</v>
      </c>
      <c r="E35" s="78"/>
      <c r="G35" s="6"/>
      <c r="I35" s="6"/>
      <c r="J35" s="7"/>
      <c r="K35" s="6"/>
    </row>
    <row r="36" spans="2:11" x14ac:dyDescent="0.25">
      <c r="B36" s="27">
        <v>40118</v>
      </c>
      <c r="C36" s="69">
        <f t="shared" si="0"/>
        <v>0</v>
      </c>
      <c r="D36" s="78">
        <v>0</v>
      </c>
      <c r="E36" s="78"/>
      <c r="G36" s="6"/>
      <c r="I36" s="6"/>
      <c r="J36" s="7"/>
      <c r="K36" s="6"/>
    </row>
    <row r="37" spans="2:11" x14ac:dyDescent="0.25">
      <c r="B37" s="27">
        <v>40087</v>
      </c>
      <c r="C37" s="69">
        <f t="shared" si="0"/>
        <v>0</v>
      </c>
      <c r="D37" s="78">
        <v>0</v>
      </c>
      <c r="E37" s="78"/>
      <c r="G37" s="6"/>
      <c r="I37" s="6"/>
      <c r="J37" s="7"/>
      <c r="K37" s="6"/>
    </row>
    <row r="38" spans="2:11" x14ac:dyDescent="0.25">
      <c r="B38" s="27">
        <v>40057</v>
      </c>
      <c r="C38" s="69">
        <f t="shared" si="0"/>
        <v>1.7990228013029317</v>
      </c>
      <c r="D38" s="78">
        <v>214.9</v>
      </c>
      <c r="E38" s="78">
        <v>386.61</v>
      </c>
      <c r="G38" s="6"/>
      <c r="I38" s="6"/>
      <c r="J38" s="7"/>
      <c r="K38" s="6"/>
    </row>
    <row r="39" spans="2:11" x14ac:dyDescent="0.25">
      <c r="B39" s="27">
        <v>40026</v>
      </c>
      <c r="C39" s="69">
        <f t="shared" si="0"/>
        <v>1.6990116279069769</v>
      </c>
      <c r="D39" s="78">
        <v>172</v>
      </c>
      <c r="E39" s="78">
        <v>292.23</v>
      </c>
      <c r="G39" s="6"/>
      <c r="I39" s="6"/>
      <c r="J39" s="7"/>
      <c r="K39" s="6"/>
    </row>
    <row r="40" spans="2:11" x14ac:dyDescent="0.25">
      <c r="B40" s="27">
        <v>39995</v>
      </c>
      <c r="C40" s="69">
        <f t="shared" si="0"/>
        <v>1.6989942528735631</v>
      </c>
      <c r="D40" s="78">
        <v>208.8</v>
      </c>
      <c r="E40" s="78">
        <v>354.75</v>
      </c>
      <c r="G40" s="6"/>
      <c r="I40" s="6"/>
      <c r="J40" s="7"/>
      <c r="K40" s="6"/>
    </row>
    <row r="41" spans="2:11" x14ac:dyDescent="0.25">
      <c r="B41" s="27">
        <v>39965</v>
      </c>
      <c r="C41" s="69">
        <f t="shared" si="0"/>
        <v>1.6989999999999998</v>
      </c>
      <c r="D41" s="78">
        <v>230</v>
      </c>
      <c r="E41" s="78">
        <v>390.77</v>
      </c>
      <c r="G41" s="6"/>
      <c r="I41" s="6"/>
      <c r="J41" s="10"/>
      <c r="K41" s="6"/>
    </row>
    <row r="42" spans="2:11" x14ac:dyDescent="0.25">
      <c r="B42" s="27">
        <v>39934</v>
      </c>
      <c r="C42" s="69">
        <f t="shared" si="0"/>
        <v>0</v>
      </c>
      <c r="D42" s="78">
        <v>0</v>
      </c>
      <c r="E42" s="78"/>
      <c r="G42" s="6"/>
      <c r="I42" s="6"/>
      <c r="J42" s="7"/>
      <c r="K42" s="6"/>
    </row>
    <row r="43" spans="2:11" x14ac:dyDescent="0.25">
      <c r="B43" s="27">
        <v>39904</v>
      </c>
      <c r="C43" s="69">
        <f t="shared" si="0"/>
        <v>0</v>
      </c>
      <c r="D43" s="78">
        <v>0</v>
      </c>
      <c r="E43" s="78"/>
      <c r="G43" s="6"/>
      <c r="I43" s="6"/>
      <c r="J43" s="7"/>
      <c r="K43" s="6"/>
    </row>
    <row r="44" spans="2:11" x14ac:dyDescent="0.25">
      <c r="B44" s="27">
        <v>39873</v>
      </c>
      <c r="C44" s="69">
        <f t="shared" si="0"/>
        <v>0</v>
      </c>
      <c r="D44" s="78">
        <v>0</v>
      </c>
      <c r="E44" s="78"/>
      <c r="G44" s="6"/>
      <c r="I44" s="6"/>
      <c r="J44" s="7"/>
      <c r="K44" s="6"/>
    </row>
    <row r="45" spans="2:11" x14ac:dyDescent="0.25">
      <c r="B45" s="27">
        <v>39845</v>
      </c>
      <c r="C45" s="69">
        <f t="shared" si="0"/>
        <v>0</v>
      </c>
      <c r="D45" s="78">
        <v>0</v>
      </c>
      <c r="E45" s="78"/>
      <c r="G45" s="6"/>
      <c r="I45" s="6"/>
      <c r="J45" s="7"/>
      <c r="K45" s="6"/>
    </row>
    <row r="46" spans="2:11" x14ac:dyDescent="0.25">
      <c r="B46" s="27">
        <v>39814</v>
      </c>
      <c r="C46" s="69">
        <f t="shared" si="0"/>
        <v>0</v>
      </c>
      <c r="D46" s="78">
        <v>0</v>
      </c>
      <c r="E46" s="78"/>
      <c r="G46" s="6"/>
      <c r="I46" s="6"/>
      <c r="J46" s="7"/>
      <c r="K46" s="6"/>
    </row>
    <row r="47" spans="2:11" x14ac:dyDescent="0.25">
      <c r="B47" s="27">
        <v>39783</v>
      </c>
      <c r="C47" s="69">
        <f t="shared" si="0"/>
        <v>0</v>
      </c>
      <c r="D47" s="78">
        <v>0</v>
      </c>
      <c r="E47" s="78"/>
      <c r="G47" s="6"/>
      <c r="I47" s="6"/>
      <c r="J47" s="7"/>
      <c r="K47" s="6"/>
    </row>
    <row r="48" spans="2:11" x14ac:dyDescent="0.25">
      <c r="B48" s="27">
        <v>39753</v>
      </c>
      <c r="C48" s="69">
        <f t="shared" si="0"/>
        <v>0</v>
      </c>
      <c r="D48" s="78">
        <v>0</v>
      </c>
      <c r="E48" s="78"/>
      <c r="G48" s="6"/>
      <c r="I48" s="6"/>
      <c r="J48" s="7"/>
      <c r="K48" s="6"/>
    </row>
    <row r="49" spans="2:11" x14ac:dyDescent="0.25">
      <c r="B49" s="27">
        <v>39722</v>
      </c>
      <c r="C49" s="69">
        <f t="shared" si="0"/>
        <v>0</v>
      </c>
      <c r="D49" s="78">
        <v>0</v>
      </c>
      <c r="E49" s="78"/>
      <c r="G49" s="6"/>
      <c r="I49" s="6"/>
      <c r="J49" s="7"/>
      <c r="K49" s="6"/>
    </row>
    <row r="50" spans="2:11" x14ac:dyDescent="0.25">
      <c r="B50" s="27">
        <v>39692</v>
      </c>
      <c r="C50" s="69">
        <f t="shared" si="0"/>
        <v>2.4990230286113047</v>
      </c>
      <c r="D50" s="78">
        <v>143.30000000000001</v>
      </c>
      <c r="E50" s="78">
        <v>358.11</v>
      </c>
      <c r="G50" s="6"/>
      <c r="I50" s="6"/>
      <c r="J50" s="7"/>
      <c r="K50" s="6"/>
    </row>
    <row r="51" spans="2:11" x14ac:dyDescent="0.25">
      <c r="B51" s="27">
        <v>39661</v>
      </c>
      <c r="C51" s="69">
        <f t="shared" si="0"/>
        <v>2.4990103463787672</v>
      </c>
      <c r="D51" s="78">
        <v>222.3</v>
      </c>
      <c r="E51" s="78">
        <v>555.53</v>
      </c>
      <c r="G51" s="6"/>
      <c r="I51" s="6"/>
      <c r="J51" s="7"/>
      <c r="K51" s="6"/>
    </row>
    <row r="52" spans="2:11" x14ac:dyDescent="0.25">
      <c r="B52" s="27">
        <v>39630</v>
      </c>
      <c r="C52" s="69">
        <f t="shared" si="0"/>
        <v>2.4990173410404624</v>
      </c>
      <c r="D52" s="78">
        <v>173</v>
      </c>
      <c r="E52" s="78">
        <v>432.33</v>
      </c>
      <c r="G52" s="6"/>
      <c r="I52" s="6"/>
      <c r="J52" s="7"/>
      <c r="K52" s="6"/>
    </row>
    <row r="53" spans="2:11" x14ac:dyDescent="0.25">
      <c r="B53" s="27">
        <v>39600</v>
      </c>
      <c r="C53" s="69">
        <f t="shared" si="0"/>
        <v>2.4990214352283315</v>
      </c>
      <c r="D53" s="78">
        <v>214.6</v>
      </c>
      <c r="E53" s="78">
        <v>536.29</v>
      </c>
      <c r="G53" s="6"/>
      <c r="I53" s="6"/>
      <c r="J53" s="7"/>
      <c r="K53" s="6"/>
    </row>
    <row r="54" spans="2:11" x14ac:dyDescent="0.25">
      <c r="B54" s="27">
        <v>39569</v>
      </c>
      <c r="C54" s="69">
        <f t="shared" si="0"/>
        <v>0</v>
      </c>
      <c r="D54" s="78">
        <v>0</v>
      </c>
      <c r="E54" s="78"/>
      <c r="G54" s="6"/>
      <c r="I54" s="6"/>
      <c r="J54" s="7"/>
      <c r="K54" s="6"/>
    </row>
    <row r="55" spans="2:11" x14ac:dyDescent="0.25">
      <c r="B55" s="27">
        <v>39539</v>
      </c>
      <c r="C55" s="69">
        <f t="shared" si="0"/>
        <v>0</v>
      </c>
      <c r="D55" s="78">
        <v>0</v>
      </c>
      <c r="E55" s="78"/>
      <c r="G55" s="6"/>
      <c r="I55" s="6"/>
      <c r="J55" s="7"/>
      <c r="K55" s="6"/>
    </row>
    <row r="56" spans="2:11" x14ac:dyDescent="0.25">
      <c r="B56" s="27">
        <v>39508</v>
      </c>
      <c r="C56" s="69">
        <f t="shared" si="0"/>
        <v>0</v>
      </c>
      <c r="D56" s="78">
        <v>0</v>
      </c>
      <c r="E56" s="78"/>
      <c r="G56" s="6"/>
      <c r="I56" s="6"/>
      <c r="J56" s="7"/>
      <c r="K56" s="6"/>
    </row>
    <row r="57" spans="2:11" x14ac:dyDescent="0.25">
      <c r="B57" s="27">
        <v>39479</v>
      </c>
      <c r="C57" s="69">
        <f t="shared" si="0"/>
        <v>0</v>
      </c>
      <c r="D57" s="78">
        <v>0</v>
      </c>
      <c r="E57" s="78"/>
      <c r="G57" s="6"/>
      <c r="I57" s="6"/>
      <c r="J57" s="7"/>
      <c r="K57" s="6"/>
    </row>
    <row r="58" spans="2:11" x14ac:dyDescent="0.25">
      <c r="B58" s="27">
        <v>39448</v>
      </c>
      <c r="C58" s="69">
        <f t="shared" si="0"/>
        <v>0</v>
      </c>
      <c r="D58" s="78">
        <v>0</v>
      </c>
      <c r="E58" s="78"/>
      <c r="G58" s="6"/>
      <c r="I58" s="6"/>
      <c r="J58" s="7"/>
      <c r="K58" s="6"/>
    </row>
    <row r="59" spans="2:11" x14ac:dyDescent="0.25">
      <c r="B59" s="27">
        <v>39417</v>
      </c>
      <c r="C59" s="69">
        <f t="shared" si="0"/>
        <v>0</v>
      </c>
      <c r="D59" s="78">
        <v>0</v>
      </c>
      <c r="E59" s="78"/>
      <c r="G59" s="6"/>
      <c r="I59" s="6"/>
      <c r="J59" s="7"/>
      <c r="K59" s="6"/>
    </row>
    <row r="60" spans="2:11" x14ac:dyDescent="0.25">
      <c r="B60" s="27">
        <v>39387</v>
      </c>
      <c r="C60" s="69">
        <f t="shared" si="0"/>
        <v>0</v>
      </c>
      <c r="D60" s="78">
        <v>0</v>
      </c>
      <c r="E60" s="78"/>
    </row>
    <row r="61" spans="2:11" x14ac:dyDescent="0.25">
      <c r="B61" s="27">
        <v>39356</v>
      </c>
      <c r="C61" s="69">
        <f t="shared" si="0"/>
        <v>0</v>
      </c>
      <c r="D61" s="78">
        <v>0</v>
      </c>
      <c r="E61" s="78"/>
    </row>
    <row r="62" spans="2:11" x14ac:dyDescent="0.25">
      <c r="B62" s="27">
        <v>39326</v>
      </c>
      <c r="C62" s="69">
        <f t="shared" si="0"/>
        <v>0</v>
      </c>
      <c r="D62" s="78">
        <v>0</v>
      </c>
      <c r="E62" s="78"/>
    </row>
    <row r="63" spans="2:11" x14ac:dyDescent="0.25">
      <c r="B63" s="27">
        <v>39295</v>
      </c>
      <c r="C63" s="69">
        <f t="shared" si="0"/>
        <v>1.7489974293059127</v>
      </c>
      <c r="D63" s="78">
        <f>121+268</f>
        <v>389</v>
      </c>
      <c r="E63" s="78">
        <f>211.63+468.73</f>
        <v>680.36</v>
      </c>
    </row>
    <row r="64" spans="2:11" x14ac:dyDescent="0.25">
      <c r="B64" s="27">
        <v>39264</v>
      </c>
      <c r="C64" s="69">
        <f t="shared" si="0"/>
        <v>1.6489925373134329</v>
      </c>
      <c r="D64" s="78">
        <v>268</v>
      </c>
      <c r="E64" s="78">
        <v>441.93</v>
      </c>
    </row>
    <row r="65" spans="2:5" x14ac:dyDescent="0.25">
      <c r="B65" s="27">
        <v>39234</v>
      </c>
      <c r="C65" s="69">
        <f t="shared" si="0"/>
        <v>0</v>
      </c>
      <c r="D65" s="78">
        <v>0</v>
      </c>
      <c r="E65" s="78"/>
    </row>
    <row r="66" spans="2:5" x14ac:dyDescent="0.25">
      <c r="B66" s="27">
        <v>39203</v>
      </c>
      <c r="C66" s="69">
        <f t="shared" si="0"/>
        <v>0</v>
      </c>
      <c r="D66" s="78">
        <v>0</v>
      </c>
      <c r="E66" s="78"/>
    </row>
    <row r="67" spans="2:5" x14ac:dyDescent="0.25">
      <c r="B67" s="27">
        <v>39173</v>
      </c>
      <c r="C67" s="69">
        <f t="shared" si="0"/>
        <v>0</v>
      </c>
      <c r="D67" s="78">
        <v>0</v>
      </c>
      <c r="E67" s="78"/>
    </row>
    <row r="68" spans="2:5" x14ac:dyDescent="0.25">
      <c r="B68" s="27">
        <v>39142</v>
      </c>
      <c r="C68" s="69">
        <f t="shared" si="0"/>
        <v>0</v>
      </c>
      <c r="D68" s="78">
        <v>0</v>
      </c>
      <c r="E68" s="78"/>
    </row>
    <row r="69" spans="2:5" x14ac:dyDescent="0.25">
      <c r="B69" s="27">
        <v>39114</v>
      </c>
      <c r="C69" s="69">
        <f t="shared" ref="C69:C70" si="1">IF(E69&gt;0,E69/D69,0)</f>
        <v>0</v>
      </c>
      <c r="D69" s="78">
        <v>0</v>
      </c>
      <c r="E69" s="78"/>
    </row>
    <row r="70" spans="2:5" x14ac:dyDescent="0.25">
      <c r="B70" s="27">
        <v>39083</v>
      </c>
      <c r="C70" s="69">
        <f t="shared" si="1"/>
        <v>0</v>
      </c>
      <c r="D70" s="78">
        <v>0</v>
      </c>
      <c r="E70" s="78"/>
    </row>
    <row r="72" spans="2:5" x14ac:dyDescent="0.25">
      <c r="B72" s="10" t="s">
        <v>6</v>
      </c>
      <c r="D72" s="28">
        <f>SUM(D4:D70)</f>
        <v>3765.5000000000005</v>
      </c>
      <c r="E72" s="3">
        <f>SUM(E4:E70)</f>
        <v>7617.98</v>
      </c>
    </row>
  </sheetData>
  <hyperlinks>
    <hyperlink ref="A1" location="a24755174" display="a24755174"/>
  </hyperlinks>
  <pageMargins left="0.7" right="0.7" top="0.75" bottom="0.75" header="0.3" footer="0.3"/>
  <pageSetup orientation="portrait" horizontalDpi="300" vertic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zoomScaleNormal="100"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/>
    </sheetView>
  </sheetViews>
  <sheetFormatPr defaultRowHeight="15" x14ac:dyDescent="0.25"/>
  <cols>
    <col min="2" max="2" width="11" bestFit="1" customWidth="1"/>
    <col min="5" max="5" width="11.5703125" bestFit="1" customWidth="1"/>
    <col min="7" max="7" width="12.28515625" customWidth="1"/>
    <col min="9" max="9" width="11.7109375" customWidth="1"/>
    <col min="10" max="10" width="14.28515625" bestFit="1" customWidth="1"/>
  </cols>
  <sheetData>
    <row r="1" spans="1:5" x14ac:dyDescent="0.25">
      <c r="A1" s="5">
        <f>Summary!B23</f>
        <v>30518</v>
      </c>
      <c r="B1" s="2" t="str">
        <f>Summary!C23</f>
        <v>601481   Brown House</v>
      </c>
    </row>
    <row r="3" spans="1:5" ht="51" x14ac:dyDescent="0.25">
      <c r="B3" s="11" t="s">
        <v>4</v>
      </c>
      <c r="C3" s="59" t="s">
        <v>14</v>
      </c>
      <c r="D3" s="55" t="s">
        <v>15</v>
      </c>
      <c r="E3" s="59" t="s">
        <v>13</v>
      </c>
    </row>
    <row r="4" spans="1:5" x14ac:dyDescent="0.25">
      <c r="B4" s="27">
        <v>41091</v>
      </c>
      <c r="C4" s="69">
        <f>IF(E4&gt;0,E4/D4,0)</f>
        <v>0</v>
      </c>
      <c r="D4" s="57">
        <v>0</v>
      </c>
      <c r="E4" s="77"/>
    </row>
    <row r="5" spans="1:5" x14ac:dyDescent="0.25">
      <c r="B5" s="27">
        <v>41061</v>
      </c>
      <c r="C5" s="69">
        <f t="shared" ref="C5:C68" si="0">IF(E5&gt;0,E5/D5,0)</f>
        <v>0</v>
      </c>
      <c r="D5" s="57">
        <v>0</v>
      </c>
      <c r="E5" s="77"/>
    </row>
    <row r="6" spans="1:5" x14ac:dyDescent="0.25">
      <c r="B6" s="27">
        <v>41030</v>
      </c>
      <c r="C6" s="69">
        <f t="shared" si="0"/>
        <v>2.2989651928504236</v>
      </c>
      <c r="D6" s="57">
        <v>106.3</v>
      </c>
      <c r="E6" s="77">
        <v>244.38</v>
      </c>
    </row>
    <row r="7" spans="1:5" x14ac:dyDescent="0.25">
      <c r="B7" s="27">
        <v>41000</v>
      </c>
      <c r="C7" s="69">
        <f t="shared" si="0"/>
        <v>0</v>
      </c>
      <c r="D7" s="57">
        <v>0</v>
      </c>
      <c r="E7" s="77"/>
    </row>
    <row r="8" spans="1:5" x14ac:dyDescent="0.25">
      <c r="B8" s="27">
        <v>40969</v>
      </c>
      <c r="C8" s="69">
        <f t="shared" si="0"/>
        <v>2.2989731888191671</v>
      </c>
      <c r="D8" s="57">
        <v>175.3</v>
      </c>
      <c r="E8" s="77">
        <v>403.01</v>
      </c>
    </row>
    <row r="9" spans="1:5" x14ac:dyDescent="0.25">
      <c r="B9" s="27">
        <v>40940</v>
      </c>
      <c r="C9" s="69">
        <f t="shared" si="0"/>
        <v>2.2989694656488551</v>
      </c>
      <c r="D9" s="77">
        <v>262</v>
      </c>
      <c r="E9" s="77">
        <v>602.33000000000004</v>
      </c>
    </row>
    <row r="10" spans="1:5" x14ac:dyDescent="0.25">
      <c r="B10" s="27">
        <v>40909</v>
      </c>
      <c r="C10" s="69">
        <f t="shared" si="0"/>
        <v>2.2989866087585957</v>
      </c>
      <c r="D10" s="77">
        <v>276.3</v>
      </c>
      <c r="E10" s="77">
        <v>635.21</v>
      </c>
    </row>
    <row r="11" spans="1:5" x14ac:dyDescent="0.25">
      <c r="B11" s="27">
        <v>40878</v>
      </c>
      <c r="C11" s="69">
        <f t="shared" si="0"/>
        <v>2.299011299435028</v>
      </c>
      <c r="D11" s="77">
        <v>212.4</v>
      </c>
      <c r="E11" s="77">
        <v>488.31</v>
      </c>
    </row>
    <row r="12" spans="1:5" x14ac:dyDescent="0.25">
      <c r="B12" s="27">
        <v>40848</v>
      </c>
      <c r="C12" s="69">
        <f t="shared" si="0"/>
        <v>0</v>
      </c>
      <c r="D12" s="77">
        <v>0</v>
      </c>
      <c r="E12" s="77"/>
    </row>
    <row r="13" spans="1:5" x14ac:dyDescent="0.25">
      <c r="B13" s="27">
        <v>40817</v>
      </c>
      <c r="C13" s="69">
        <f t="shared" si="0"/>
        <v>2.2990476190476192</v>
      </c>
      <c r="D13" s="77">
        <v>84</v>
      </c>
      <c r="E13" s="77">
        <v>193.12</v>
      </c>
    </row>
    <row r="14" spans="1:5" x14ac:dyDescent="0.25">
      <c r="B14" s="27">
        <v>40787</v>
      </c>
      <c r="C14" s="69">
        <f t="shared" si="0"/>
        <v>0</v>
      </c>
      <c r="D14" s="77">
        <v>0</v>
      </c>
      <c r="E14" s="77"/>
    </row>
    <row r="15" spans="1:5" x14ac:dyDescent="0.25">
      <c r="B15" s="27">
        <v>40756</v>
      </c>
      <c r="C15" s="69">
        <f t="shared" si="0"/>
        <v>1.9989847715736042</v>
      </c>
      <c r="D15" s="77">
        <v>98.5</v>
      </c>
      <c r="E15" s="77">
        <v>196.9</v>
      </c>
    </row>
    <row r="16" spans="1:5" x14ac:dyDescent="0.25">
      <c r="B16" s="27">
        <v>40725</v>
      </c>
      <c r="C16" s="69">
        <f t="shared" si="0"/>
        <v>0</v>
      </c>
      <c r="D16" s="77">
        <v>0</v>
      </c>
      <c r="E16" s="77"/>
    </row>
    <row r="17" spans="2:11" x14ac:dyDescent="0.25">
      <c r="B17" s="27">
        <v>40695</v>
      </c>
      <c r="C17" s="69">
        <f t="shared" si="0"/>
        <v>1.9989769820971865</v>
      </c>
      <c r="D17" s="77">
        <v>78.2</v>
      </c>
      <c r="E17" s="77">
        <v>156.32</v>
      </c>
    </row>
    <row r="18" spans="2:11" x14ac:dyDescent="0.25">
      <c r="B18" s="27">
        <v>40664</v>
      </c>
      <c r="C18" s="69">
        <f t="shared" si="0"/>
        <v>1.998981426003595</v>
      </c>
      <c r="D18" s="77">
        <v>166.9</v>
      </c>
      <c r="E18" s="77">
        <v>333.63</v>
      </c>
    </row>
    <row r="19" spans="2:11" x14ac:dyDescent="0.25">
      <c r="B19" s="27">
        <v>40634</v>
      </c>
      <c r="C19" s="69">
        <f t="shared" si="0"/>
        <v>1.9990073647134163</v>
      </c>
      <c r="D19" s="77">
        <v>312.3</v>
      </c>
      <c r="E19" s="77">
        <v>624.29</v>
      </c>
    </row>
    <row r="20" spans="2:11" x14ac:dyDescent="0.25">
      <c r="B20" s="27">
        <v>40603</v>
      </c>
      <c r="C20" s="69">
        <f t="shared" si="0"/>
        <v>0</v>
      </c>
      <c r="D20" s="77">
        <v>0</v>
      </c>
      <c r="E20" s="77"/>
      <c r="G20" s="6"/>
      <c r="I20" s="6"/>
      <c r="J20" s="10"/>
      <c r="K20" s="6"/>
    </row>
    <row r="21" spans="2:11" x14ac:dyDescent="0.25">
      <c r="B21" s="27">
        <v>40575</v>
      </c>
      <c r="C21" s="69">
        <f t="shared" si="0"/>
        <v>1.9989937106918241</v>
      </c>
      <c r="D21" s="78">
        <f>277.6+358.4</f>
        <v>636</v>
      </c>
      <c r="E21" s="78">
        <f>554.92+716.44</f>
        <v>1271.3600000000001</v>
      </c>
      <c r="G21" s="6"/>
      <c r="I21" s="6"/>
      <c r="J21" s="10"/>
      <c r="K21" s="6"/>
    </row>
    <row r="22" spans="2:11" x14ac:dyDescent="0.25">
      <c r="B22" s="27">
        <v>40544</v>
      </c>
      <c r="C22" s="69">
        <f t="shared" si="0"/>
        <v>1.9990080595164288</v>
      </c>
      <c r="D22" s="78">
        <v>322.60000000000002</v>
      </c>
      <c r="E22" s="78">
        <v>644.88</v>
      </c>
      <c r="G22" s="6"/>
      <c r="I22" s="6"/>
      <c r="J22" s="10"/>
      <c r="K22" s="6"/>
    </row>
    <row r="23" spans="2:11" x14ac:dyDescent="0.25">
      <c r="B23" s="27">
        <v>40513</v>
      </c>
      <c r="C23" s="69">
        <f t="shared" si="0"/>
        <v>1.999015932521087</v>
      </c>
      <c r="D23" s="78">
        <v>213.4</v>
      </c>
      <c r="E23" s="78">
        <v>426.59</v>
      </c>
      <c r="G23" s="6"/>
      <c r="I23" s="6"/>
      <c r="J23" s="10"/>
      <c r="K23" s="6"/>
    </row>
    <row r="24" spans="2:11" x14ac:dyDescent="0.25">
      <c r="B24" s="27">
        <v>40483</v>
      </c>
      <c r="C24" s="69">
        <f t="shared" si="0"/>
        <v>1.9989868287740629</v>
      </c>
      <c r="D24" s="78">
        <v>98.7</v>
      </c>
      <c r="E24" s="78">
        <v>197.3</v>
      </c>
      <c r="G24" s="6"/>
      <c r="I24" s="6"/>
      <c r="J24" s="10"/>
      <c r="K24" s="6"/>
    </row>
    <row r="25" spans="2:11" x14ac:dyDescent="0.25">
      <c r="B25" s="27">
        <v>40452</v>
      </c>
      <c r="C25" s="69">
        <f t="shared" si="0"/>
        <v>1.9989583333333334</v>
      </c>
      <c r="D25" s="78">
        <v>57.6</v>
      </c>
      <c r="E25" s="78">
        <v>115.14</v>
      </c>
      <c r="G25" s="6"/>
      <c r="I25" s="6"/>
      <c r="J25" s="7"/>
      <c r="K25" s="6"/>
    </row>
    <row r="26" spans="2:11" x14ac:dyDescent="0.25">
      <c r="B26" s="27">
        <v>40422</v>
      </c>
      <c r="C26" s="69">
        <f t="shared" si="0"/>
        <v>1.998967551622419</v>
      </c>
      <c r="D26" s="78">
        <v>67.8</v>
      </c>
      <c r="E26" s="78">
        <v>135.53</v>
      </c>
      <c r="G26" s="6"/>
      <c r="I26" s="6"/>
      <c r="J26" s="10"/>
      <c r="K26" s="6"/>
    </row>
    <row r="27" spans="2:11" x14ac:dyDescent="0.25">
      <c r="B27" s="27">
        <v>40391</v>
      </c>
      <c r="C27" s="69">
        <f t="shared" si="0"/>
        <v>0</v>
      </c>
      <c r="D27" s="78">
        <v>0</v>
      </c>
      <c r="E27" s="78"/>
      <c r="G27" s="6"/>
      <c r="I27" s="6"/>
      <c r="J27" s="10"/>
      <c r="K27" s="6"/>
    </row>
    <row r="28" spans="2:11" x14ac:dyDescent="0.25">
      <c r="B28" s="27">
        <v>40360</v>
      </c>
      <c r="C28" s="69">
        <f t="shared" si="0"/>
        <v>0</v>
      </c>
      <c r="D28" s="78">
        <v>0</v>
      </c>
      <c r="E28" s="78"/>
      <c r="G28" s="6"/>
      <c r="I28" s="6"/>
      <c r="J28" s="7"/>
      <c r="K28" s="6"/>
    </row>
    <row r="29" spans="2:11" x14ac:dyDescent="0.25">
      <c r="B29" s="27">
        <v>40330</v>
      </c>
      <c r="C29" s="69">
        <f t="shared" si="0"/>
        <v>1.9990384615384613</v>
      </c>
      <c r="D29" s="78">
        <v>114.4</v>
      </c>
      <c r="E29" s="78">
        <v>228.69</v>
      </c>
      <c r="G29" s="6"/>
      <c r="I29" s="6"/>
      <c r="J29" s="7"/>
      <c r="K29" s="6"/>
    </row>
    <row r="30" spans="2:11" x14ac:dyDescent="0.25">
      <c r="B30" s="27">
        <v>40299</v>
      </c>
      <c r="C30" s="69">
        <f t="shared" si="0"/>
        <v>0</v>
      </c>
      <c r="D30" s="78">
        <v>0</v>
      </c>
      <c r="E30" s="78"/>
      <c r="G30" s="6"/>
      <c r="I30" s="6"/>
      <c r="J30" s="7"/>
      <c r="K30" s="6"/>
    </row>
    <row r="31" spans="2:11" x14ac:dyDescent="0.25">
      <c r="B31" s="27">
        <v>40269</v>
      </c>
      <c r="C31" s="69">
        <f t="shared" si="0"/>
        <v>1.7989966555183947</v>
      </c>
      <c r="D31" s="78">
        <v>89.7</v>
      </c>
      <c r="E31" s="78">
        <v>161.37</v>
      </c>
      <c r="G31" s="6"/>
      <c r="I31" s="6"/>
      <c r="J31" s="7"/>
      <c r="K31" s="6"/>
    </row>
    <row r="32" spans="2:11" x14ac:dyDescent="0.25">
      <c r="B32" s="27">
        <v>40238</v>
      </c>
      <c r="C32" s="69">
        <f t="shared" si="0"/>
        <v>1.7990139687756779</v>
      </c>
      <c r="D32" s="78">
        <v>121.7</v>
      </c>
      <c r="E32" s="78">
        <v>218.94</v>
      </c>
      <c r="G32" s="6"/>
      <c r="I32" s="6"/>
      <c r="J32" s="7"/>
      <c r="K32" s="6"/>
    </row>
    <row r="33" spans="2:11" x14ac:dyDescent="0.25">
      <c r="B33" s="27">
        <v>40210</v>
      </c>
      <c r="C33" s="69">
        <f t="shared" si="0"/>
        <v>1.7990107913669064</v>
      </c>
      <c r="D33" s="78">
        <v>111.2</v>
      </c>
      <c r="E33" s="78">
        <v>200.05</v>
      </c>
      <c r="G33" s="6"/>
      <c r="I33" s="6"/>
      <c r="J33" s="7"/>
      <c r="K33" s="6"/>
    </row>
    <row r="34" spans="2:11" x14ac:dyDescent="0.25">
      <c r="B34" s="27">
        <v>40179</v>
      </c>
      <c r="C34" s="69">
        <f t="shared" si="0"/>
        <v>1.7989953955629969</v>
      </c>
      <c r="D34" s="78">
        <v>238.9</v>
      </c>
      <c r="E34" s="78">
        <v>429.78</v>
      </c>
      <c r="G34" s="6"/>
      <c r="I34" s="6"/>
      <c r="J34" s="7"/>
      <c r="K34" s="6"/>
    </row>
    <row r="35" spans="2:11" x14ac:dyDescent="0.25">
      <c r="B35" s="27">
        <v>40148</v>
      </c>
      <c r="C35" s="69">
        <f t="shared" si="0"/>
        <v>0</v>
      </c>
      <c r="D35" s="78">
        <v>0</v>
      </c>
      <c r="E35" s="78"/>
      <c r="G35" s="6"/>
      <c r="I35" s="6"/>
      <c r="J35" s="7"/>
      <c r="K35" s="6"/>
    </row>
    <row r="36" spans="2:11" x14ac:dyDescent="0.25">
      <c r="B36" s="27">
        <v>40118</v>
      </c>
      <c r="C36" s="69">
        <f t="shared" si="0"/>
        <v>1.7990011098779135</v>
      </c>
      <c r="D36" s="78">
        <v>90.1</v>
      </c>
      <c r="E36" s="78">
        <v>162.09</v>
      </c>
      <c r="G36" s="6"/>
      <c r="I36" s="6"/>
      <c r="J36" s="7"/>
      <c r="K36" s="6"/>
    </row>
    <row r="37" spans="2:11" x14ac:dyDescent="0.25">
      <c r="B37" s="27">
        <v>40087</v>
      </c>
      <c r="C37" s="69">
        <f t="shared" si="0"/>
        <v>0</v>
      </c>
      <c r="D37" s="78">
        <v>0</v>
      </c>
      <c r="E37" s="78"/>
      <c r="G37" s="6"/>
      <c r="I37" s="6"/>
      <c r="J37" s="7"/>
      <c r="K37" s="6"/>
    </row>
    <row r="38" spans="2:11" x14ac:dyDescent="0.25">
      <c r="B38" s="27">
        <v>40057</v>
      </c>
      <c r="C38" s="69">
        <f t="shared" si="0"/>
        <v>1.7989648033126295</v>
      </c>
      <c r="D38" s="78">
        <v>96.6</v>
      </c>
      <c r="E38" s="78">
        <v>173.78</v>
      </c>
      <c r="G38" s="6"/>
      <c r="I38" s="6"/>
      <c r="J38" s="7"/>
      <c r="K38" s="6"/>
    </row>
    <row r="39" spans="2:11" x14ac:dyDescent="0.25">
      <c r="B39" s="27">
        <v>40026</v>
      </c>
      <c r="C39" s="69">
        <f t="shared" si="0"/>
        <v>0</v>
      </c>
      <c r="D39" s="78">
        <v>0</v>
      </c>
      <c r="E39" s="78"/>
      <c r="G39" s="6"/>
      <c r="I39" s="6"/>
      <c r="J39" s="7"/>
      <c r="K39" s="6"/>
    </row>
    <row r="40" spans="2:11" x14ac:dyDescent="0.25">
      <c r="B40" s="27">
        <v>39995</v>
      </c>
      <c r="C40" s="69">
        <f t="shared" si="0"/>
        <v>1.6989785495403473</v>
      </c>
      <c r="D40" s="78">
        <v>97.9</v>
      </c>
      <c r="E40" s="78">
        <v>166.33</v>
      </c>
      <c r="G40" s="6"/>
      <c r="I40" s="6"/>
      <c r="J40" s="10"/>
      <c r="K40" s="6"/>
    </row>
    <row r="41" spans="2:11" x14ac:dyDescent="0.25">
      <c r="B41" s="27">
        <v>39965</v>
      </c>
      <c r="C41" s="69">
        <f t="shared" si="0"/>
        <v>1.698961661341853</v>
      </c>
      <c r="D41" s="78">
        <v>125.2</v>
      </c>
      <c r="E41" s="78">
        <v>212.71</v>
      </c>
      <c r="G41" s="6"/>
      <c r="I41" s="6"/>
      <c r="J41" s="7"/>
      <c r="K41" s="6"/>
    </row>
    <row r="42" spans="2:11" x14ac:dyDescent="0.25">
      <c r="B42" s="27">
        <v>39934</v>
      </c>
      <c r="C42" s="69">
        <f t="shared" si="0"/>
        <v>0</v>
      </c>
      <c r="D42" s="78">
        <v>0</v>
      </c>
      <c r="E42" s="78"/>
      <c r="G42" s="6"/>
      <c r="I42" s="6"/>
      <c r="J42" s="7"/>
      <c r="K42" s="6"/>
    </row>
    <row r="43" spans="2:11" x14ac:dyDescent="0.25">
      <c r="B43" s="27">
        <v>39904</v>
      </c>
      <c r="C43" s="69">
        <f t="shared" si="0"/>
        <v>0</v>
      </c>
      <c r="D43" s="78">
        <v>0</v>
      </c>
      <c r="E43" s="78"/>
      <c r="G43" s="6"/>
      <c r="I43" s="6"/>
      <c r="J43" s="7"/>
      <c r="K43" s="6"/>
    </row>
    <row r="44" spans="2:11" x14ac:dyDescent="0.25">
      <c r="B44" s="27">
        <v>39873</v>
      </c>
      <c r="C44" s="69">
        <f t="shared" si="0"/>
        <v>1.9989637305699484</v>
      </c>
      <c r="D44" s="78">
        <v>135.1</v>
      </c>
      <c r="E44" s="78">
        <v>270.06</v>
      </c>
      <c r="G44" s="6"/>
      <c r="I44" s="6"/>
      <c r="J44" s="7"/>
      <c r="K44" s="6"/>
    </row>
    <row r="45" spans="2:11" x14ac:dyDescent="0.25">
      <c r="B45" s="27">
        <v>39845</v>
      </c>
      <c r="C45" s="69">
        <f t="shared" si="0"/>
        <v>2.3334859154929579</v>
      </c>
      <c r="D45" s="78">
        <f>117.5+166.5</f>
        <v>284</v>
      </c>
      <c r="E45" s="78">
        <f>246.63+416.08</f>
        <v>662.71</v>
      </c>
      <c r="G45" s="6"/>
      <c r="I45" s="6"/>
      <c r="J45" s="7"/>
      <c r="K45" s="6"/>
    </row>
    <row r="46" spans="2:11" x14ac:dyDescent="0.25">
      <c r="B46" s="27">
        <v>39814</v>
      </c>
      <c r="C46" s="69">
        <f t="shared" si="0"/>
        <v>2.4989749430523918</v>
      </c>
      <c r="D46" s="78">
        <v>175.6</v>
      </c>
      <c r="E46" s="78">
        <v>438.82</v>
      </c>
      <c r="G46" s="6"/>
      <c r="I46" s="6"/>
      <c r="J46" s="7"/>
      <c r="K46" s="6"/>
    </row>
    <row r="47" spans="2:11" x14ac:dyDescent="0.25">
      <c r="B47" s="27">
        <v>39783</v>
      </c>
      <c r="C47" s="69">
        <f t="shared" si="0"/>
        <v>2.4989938080495357</v>
      </c>
      <c r="D47" s="78">
        <v>129.19999999999999</v>
      </c>
      <c r="E47" s="78">
        <v>322.87</v>
      </c>
      <c r="G47" s="6"/>
      <c r="I47" s="6"/>
      <c r="J47" s="7"/>
      <c r="K47" s="6"/>
    </row>
    <row r="48" spans="2:11" x14ac:dyDescent="0.25">
      <c r="B48" s="27">
        <v>39753</v>
      </c>
      <c r="C48" s="69">
        <f t="shared" si="0"/>
        <v>0</v>
      </c>
      <c r="D48" s="78">
        <v>0</v>
      </c>
      <c r="E48" s="78"/>
      <c r="G48" s="6"/>
      <c r="I48" s="6"/>
      <c r="J48" s="7"/>
      <c r="K48" s="6"/>
    </row>
    <row r="49" spans="2:11" x14ac:dyDescent="0.25">
      <c r="B49" s="27">
        <v>39722</v>
      </c>
      <c r="C49" s="69">
        <f t="shared" si="0"/>
        <v>0</v>
      </c>
      <c r="D49" s="78">
        <v>0</v>
      </c>
      <c r="E49" s="78"/>
      <c r="G49" s="6"/>
      <c r="I49" s="6"/>
      <c r="J49" s="7"/>
      <c r="K49" s="6"/>
    </row>
    <row r="50" spans="2:11" x14ac:dyDescent="0.25">
      <c r="B50" s="27">
        <v>39692</v>
      </c>
      <c r="C50" s="69">
        <f t="shared" si="0"/>
        <v>2.4990066225165566</v>
      </c>
      <c r="D50" s="78">
        <v>90.6</v>
      </c>
      <c r="E50" s="78">
        <v>226.41</v>
      </c>
      <c r="G50" s="6"/>
      <c r="I50" s="6"/>
      <c r="J50" s="7"/>
      <c r="K50" s="6"/>
    </row>
    <row r="51" spans="2:11" x14ac:dyDescent="0.25">
      <c r="B51" s="27">
        <v>39661</v>
      </c>
      <c r="C51" s="69">
        <f t="shared" si="0"/>
        <v>0</v>
      </c>
      <c r="D51" s="78">
        <v>0</v>
      </c>
      <c r="E51" s="78"/>
      <c r="G51" s="6"/>
      <c r="I51" s="6"/>
      <c r="J51" s="7"/>
      <c r="K51" s="6"/>
    </row>
    <row r="52" spans="2:11" x14ac:dyDescent="0.25">
      <c r="B52" s="27">
        <v>39630</v>
      </c>
      <c r="C52" s="69">
        <f t="shared" si="0"/>
        <v>2.4989648033126297</v>
      </c>
      <c r="D52" s="78">
        <v>96.6</v>
      </c>
      <c r="E52" s="78">
        <v>241.4</v>
      </c>
      <c r="G52" s="6"/>
      <c r="I52" s="6"/>
      <c r="J52" s="7"/>
      <c r="K52" s="6"/>
    </row>
    <row r="53" spans="2:11" x14ac:dyDescent="0.25">
      <c r="B53" s="27">
        <v>39600</v>
      </c>
      <c r="C53" s="69">
        <f t="shared" si="0"/>
        <v>2.4989498249708282</v>
      </c>
      <c r="D53" s="78">
        <v>85.7</v>
      </c>
      <c r="E53" s="78">
        <v>214.16</v>
      </c>
      <c r="G53" s="6"/>
      <c r="I53" s="6"/>
      <c r="J53" s="7"/>
      <c r="K53" s="6"/>
    </row>
    <row r="54" spans="2:11" x14ac:dyDescent="0.25">
      <c r="B54" s="27">
        <v>39569</v>
      </c>
      <c r="C54" s="69">
        <f t="shared" si="0"/>
        <v>1.9989743589743589</v>
      </c>
      <c r="D54" s="78">
        <v>117</v>
      </c>
      <c r="E54" s="78">
        <v>233.88</v>
      </c>
      <c r="G54" s="6"/>
      <c r="I54" s="6"/>
      <c r="J54" s="7"/>
      <c r="K54" s="6"/>
    </row>
    <row r="55" spans="2:11" x14ac:dyDescent="0.25">
      <c r="B55" s="27">
        <v>39539</v>
      </c>
      <c r="C55" s="69">
        <f t="shared" si="0"/>
        <v>0</v>
      </c>
      <c r="D55" s="78">
        <v>0</v>
      </c>
      <c r="E55" s="78"/>
      <c r="G55" s="6"/>
      <c r="I55" s="6"/>
      <c r="J55" s="7"/>
      <c r="K55" s="6"/>
    </row>
    <row r="56" spans="2:11" x14ac:dyDescent="0.25">
      <c r="B56" s="27">
        <v>39508</v>
      </c>
      <c r="C56" s="69">
        <f t="shared" si="0"/>
        <v>1.9990322580645163</v>
      </c>
      <c r="D56" s="78">
        <v>155</v>
      </c>
      <c r="E56" s="78">
        <v>309.85000000000002</v>
      </c>
      <c r="G56" s="6"/>
      <c r="I56" s="6"/>
      <c r="J56" s="7"/>
      <c r="K56" s="6"/>
    </row>
    <row r="57" spans="2:11" x14ac:dyDescent="0.25">
      <c r="B57" s="27">
        <v>39479</v>
      </c>
      <c r="C57" s="69">
        <f t="shared" si="0"/>
        <v>1.9990344827586208</v>
      </c>
      <c r="D57" s="78">
        <v>145</v>
      </c>
      <c r="E57" s="78">
        <v>289.86</v>
      </c>
      <c r="G57" s="6"/>
      <c r="I57" s="6"/>
      <c r="J57" s="7"/>
      <c r="K57" s="6"/>
    </row>
    <row r="58" spans="2:11" x14ac:dyDescent="0.25">
      <c r="B58" s="27">
        <v>39448</v>
      </c>
      <c r="C58" s="69">
        <f t="shared" si="0"/>
        <v>1.9990196078431373</v>
      </c>
      <c r="D58" s="78">
        <v>204</v>
      </c>
      <c r="E58" s="78">
        <v>407.8</v>
      </c>
      <c r="G58" s="6"/>
      <c r="I58" s="6"/>
      <c r="J58" s="7"/>
      <c r="K58" s="6"/>
    </row>
    <row r="59" spans="2:11" x14ac:dyDescent="0.25">
      <c r="B59" s="27">
        <v>39417</v>
      </c>
      <c r="C59" s="69">
        <f t="shared" si="0"/>
        <v>0</v>
      </c>
      <c r="D59" s="78">
        <v>0</v>
      </c>
      <c r="E59" s="78"/>
      <c r="G59" s="6"/>
      <c r="I59" s="6"/>
      <c r="J59" s="7"/>
      <c r="K59" s="6"/>
    </row>
    <row r="60" spans="2:11" x14ac:dyDescent="0.25">
      <c r="B60" s="27">
        <v>39387</v>
      </c>
      <c r="C60" s="69">
        <f t="shared" si="0"/>
        <v>1.7489999999999999</v>
      </c>
      <c r="D60" s="78">
        <v>120</v>
      </c>
      <c r="E60" s="78">
        <v>209.88</v>
      </c>
      <c r="G60" s="6"/>
      <c r="I60" s="6"/>
      <c r="J60" s="7"/>
      <c r="K60" s="6"/>
    </row>
    <row r="61" spans="2:11" x14ac:dyDescent="0.25">
      <c r="B61" s="27">
        <v>39356</v>
      </c>
      <c r="C61" s="69">
        <f t="shared" si="0"/>
        <v>0</v>
      </c>
      <c r="D61" s="78">
        <v>0</v>
      </c>
      <c r="E61" s="78"/>
      <c r="G61" s="6"/>
      <c r="I61" s="6"/>
      <c r="J61" s="7"/>
      <c r="K61" s="6"/>
    </row>
    <row r="62" spans="2:11" x14ac:dyDescent="0.25">
      <c r="B62" s="27">
        <v>39326</v>
      </c>
      <c r="C62" s="69">
        <f t="shared" si="0"/>
        <v>1.7490217391304348</v>
      </c>
      <c r="D62" s="78">
        <v>92</v>
      </c>
      <c r="E62" s="78">
        <v>160.91</v>
      </c>
      <c r="G62" s="6"/>
      <c r="I62" s="6"/>
      <c r="J62" s="7"/>
      <c r="K62" s="6"/>
    </row>
    <row r="63" spans="2:11" x14ac:dyDescent="0.25">
      <c r="B63" s="27">
        <v>39295</v>
      </c>
      <c r="C63" s="69">
        <f t="shared" si="0"/>
        <v>1.7489705882352942</v>
      </c>
      <c r="D63" s="78">
        <v>136</v>
      </c>
      <c r="E63" s="78">
        <v>237.86</v>
      </c>
      <c r="G63" s="6"/>
      <c r="I63" s="6"/>
      <c r="J63" s="7"/>
      <c r="K63" s="6"/>
    </row>
    <row r="64" spans="2:11" x14ac:dyDescent="0.25">
      <c r="B64" s="27">
        <v>39264</v>
      </c>
      <c r="C64" s="69">
        <f t="shared" si="0"/>
        <v>1.6489795918367347</v>
      </c>
      <c r="D64" s="78">
        <v>98</v>
      </c>
      <c r="E64" s="78">
        <v>161.6</v>
      </c>
      <c r="G64" s="6"/>
      <c r="I64" s="6"/>
      <c r="J64" s="10"/>
      <c r="K64" s="6"/>
    </row>
    <row r="65" spans="2:11" x14ac:dyDescent="0.25">
      <c r="B65" s="27">
        <v>39234</v>
      </c>
      <c r="C65" s="69">
        <f t="shared" si="0"/>
        <v>0</v>
      </c>
      <c r="D65" s="78">
        <v>0</v>
      </c>
      <c r="E65" s="78"/>
      <c r="G65" s="6"/>
      <c r="I65" s="6"/>
      <c r="J65" s="7"/>
      <c r="K65" s="6"/>
    </row>
    <row r="66" spans="2:11" x14ac:dyDescent="0.25">
      <c r="B66" s="27">
        <v>39203</v>
      </c>
      <c r="C66" s="69">
        <f t="shared" si="0"/>
        <v>1.6490476190476191</v>
      </c>
      <c r="D66" s="78">
        <v>84</v>
      </c>
      <c r="E66" s="78">
        <v>138.52000000000001</v>
      </c>
      <c r="G66" s="6"/>
      <c r="I66" s="6"/>
      <c r="J66" s="10"/>
      <c r="K66" s="6"/>
    </row>
    <row r="67" spans="2:11" x14ac:dyDescent="0.25">
      <c r="B67" s="27">
        <v>39173</v>
      </c>
      <c r="C67" s="69">
        <f t="shared" si="0"/>
        <v>1.6490178571428571</v>
      </c>
      <c r="D67" s="78">
        <v>112</v>
      </c>
      <c r="E67" s="78">
        <v>184.69</v>
      </c>
      <c r="G67" s="6"/>
      <c r="I67" s="6"/>
      <c r="J67" s="7"/>
      <c r="K67" s="6"/>
    </row>
    <row r="68" spans="2:11" x14ac:dyDescent="0.25">
      <c r="B68" s="27">
        <v>39142</v>
      </c>
      <c r="C68" s="69">
        <f t="shared" si="0"/>
        <v>1.6490526315789473</v>
      </c>
      <c r="D68" s="78">
        <v>95</v>
      </c>
      <c r="E68" s="78">
        <v>156.66</v>
      </c>
      <c r="G68" s="6"/>
      <c r="I68" s="6"/>
      <c r="J68" s="7"/>
      <c r="K68" s="6"/>
    </row>
    <row r="69" spans="2:11" x14ac:dyDescent="0.25">
      <c r="B69" s="27">
        <v>39114</v>
      </c>
      <c r="C69" s="69">
        <f t="shared" ref="C69:C70" si="1">IF(E69&gt;0,E69/D69,0)</f>
        <v>1.6490303030303028</v>
      </c>
      <c r="D69" s="78">
        <v>165</v>
      </c>
      <c r="E69" s="78">
        <v>272.08999999999997</v>
      </c>
      <c r="G69" s="6"/>
      <c r="I69" s="6"/>
      <c r="J69" s="7"/>
      <c r="K69" s="6"/>
    </row>
    <row r="70" spans="2:11" x14ac:dyDescent="0.25">
      <c r="B70" s="27">
        <v>39083</v>
      </c>
      <c r="C70" s="69">
        <f t="shared" si="1"/>
        <v>0</v>
      </c>
      <c r="D70" s="78">
        <v>0</v>
      </c>
      <c r="E70" s="78"/>
      <c r="G70" s="6"/>
      <c r="I70" s="6"/>
      <c r="J70" s="7"/>
      <c r="K70" s="6"/>
    </row>
    <row r="72" spans="2:11" x14ac:dyDescent="0.25">
      <c r="B72" s="10" t="s">
        <v>6</v>
      </c>
      <c r="D72" s="28">
        <f>SUM(D4:D70)</f>
        <v>6773.8</v>
      </c>
      <c r="E72" s="3">
        <f>SUM(E4:E70)</f>
        <v>13762.069999999998</v>
      </c>
    </row>
  </sheetData>
  <hyperlinks>
    <hyperlink ref="A1" location="a33772292" display="a33772292"/>
  </hyperlink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F1" sqref="F1"/>
    </sheetView>
  </sheetViews>
  <sheetFormatPr defaultRowHeight="15" x14ac:dyDescent="0.25"/>
  <sheetData>
    <row r="1" spans="1:2" x14ac:dyDescent="0.25">
      <c r="A1" s="2" t="s">
        <v>48</v>
      </c>
    </row>
    <row r="2" spans="1:2" x14ac:dyDescent="0.25">
      <c r="B2" t="s">
        <v>46</v>
      </c>
    </row>
    <row r="3" spans="1:2" x14ac:dyDescent="0.25">
      <c r="B3" t="s">
        <v>47</v>
      </c>
    </row>
  </sheetData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60</vt:i4>
      </vt:variant>
    </vt:vector>
  </HeadingPairs>
  <TitlesOfParts>
    <vt:vector size="82" baseType="lpstr">
      <vt:lpstr>Summary</vt:lpstr>
      <vt:lpstr>Sorted Summary</vt:lpstr>
      <vt:lpstr>30490</vt:lpstr>
      <vt:lpstr>30491</vt:lpstr>
      <vt:lpstr>30492</vt:lpstr>
      <vt:lpstr>30493</vt:lpstr>
      <vt:lpstr>30494</vt:lpstr>
      <vt:lpstr>30495</vt:lpstr>
      <vt:lpstr>30496</vt:lpstr>
      <vt:lpstr>30497</vt:lpstr>
      <vt:lpstr>30498</vt:lpstr>
      <vt:lpstr>30500</vt:lpstr>
      <vt:lpstr>30505</vt:lpstr>
      <vt:lpstr>30506</vt:lpstr>
      <vt:lpstr>30507</vt:lpstr>
      <vt:lpstr>30508</vt:lpstr>
      <vt:lpstr>30509</vt:lpstr>
      <vt:lpstr>30510</vt:lpstr>
      <vt:lpstr>30515</vt:lpstr>
      <vt:lpstr>30517</vt:lpstr>
      <vt:lpstr>30518</vt:lpstr>
      <vt:lpstr>Camp Pic May 2012</vt:lpstr>
      <vt:lpstr>'30500'!_GoBack</vt:lpstr>
      <vt:lpstr>'Sorted Summary'!a24755174</vt:lpstr>
      <vt:lpstr>a24755174</vt:lpstr>
      <vt:lpstr>'Sorted Summary'!a24961146</vt:lpstr>
      <vt:lpstr>a24961146</vt:lpstr>
      <vt:lpstr>'Sorted Summary'!a31625914</vt:lpstr>
      <vt:lpstr>a31625914</vt:lpstr>
      <vt:lpstr>'Sorted Summary'!a33772202</vt:lpstr>
      <vt:lpstr>a33772202</vt:lpstr>
      <vt:lpstr>'Sorted Summary'!a33772292</vt:lpstr>
      <vt:lpstr>a33772292</vt:lpstr>
      <vt:lpstr>'Sorted Summary'!a33772345</vt:lpstr>
      <vt:lpstr>a33772345</vt:lpstr>
      <vt:lpstr>'Sorted Summary'!a34098354</vt:lpstr>
      <vt:lpstr>a34098354</vt:lpstr>
      <vt:lpstr>'Sorted Summary'!a34098363</vt:lpstr>
      <vt:lpstr>a34098363</vt:lpstr>
      <vt:lpstr>'Sorted Summary'!a34098366</vt:lpstr>
      <vt:lpstr>a34098366</vt:lpstr>
      <vt:lpstr>'Sorted Summary'!a34098367</vt:lpstr>
      <vt:lpstr>a34098367</vt:lpstr>
      <vt:lpstr>'Sorted Summary'!a34098368</vt:lpstr>
      <vt:lpstr>a34098368</vt:lpstr>
      <vt:lpstr>'Sorted Summary'!a34098369</vt:lpstr>
      <vt:lpstr>a34098369</vt:lpstr>
      <vt:lpstr>'Sorted Summary'!a34098405</vt:lpstr>
      <vt:lpstr>a34098405</vt:lpstr>
      <vt:lpstr>'Sorted Summary'!a34098471</vt:lpstr>
      <vt:lpstr>a34098471</vt:lpstr>
      <vt:lpstr>'Sorted Summary'!a34447035</vt:lpstr>
      <vt:lpstr>a34447035</vt:lpstr>
      <vt:lpstr>'Sorted Summary'!a34447043</vt:lpstr>
      <vt:lpstr>a34447043</vt:lpstr>
      <vt:lpstr>'Sorted Summary'!a34863949</vt:lpstr>
      <vt:lpstr>a34863949</vt:lpstr>
      <vt:lpstr>a632400435</vt:lpstr>
      <vt:lpstr>'Sorted Summary'!a632404791</vt:lpstr>
      <vt:lpstr>a632404791</vt:lpstr>
      <vt:lpstr>b24755174</vt:lpstr>
      <vt:lpstr>b24961146</vt:lpstr>
      <vt:lpstr>b31625914</vt:lpstr>
      <vt:lpstr>b33772202</vt:lpstr>
      <vt:lpstr>b33772292</vt:lpstr>
      <vt:lpstr>b33772345</vt:lpstr>
      <vt:lpstr>b34098354</vt:lpstr>
      <vt:lpstr>b34098363</vt:lpstr>
      <vt:lpstr>b34098366</vt:lpstr>
      <vt:lpstr>b34098367</vt:lpstr>
      <vt:lpstr>b34098368</vt:lpstr>
      <vt:lpstr>b34098369</vt:lpstr>
      <vt:lpstr>b34098405</vt:lpstr>
      <vt:lpstr>b34098471</vt:lpstr>
      <vt:lpstr>b34447035</vt:lpstr>
      <vt:lpstr>b34447043</vt:lpstr>
      <vt:lpstr>b34863949</vt:lpstr>
      <vt:lpstr>'Sorted Summary'!b632400435</vt:lpstr>
      <vt:lpstr>b632400435</vt:lpstr>
      <vt:lpstr>b632404791</vt:lpstr>
      <vt:lpstr>'Sorted Summary'!Print_Area</vt:lpstr>
      <vt:lpstr>Summary!Print_Area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TBM</dc:creator>
  <cp:lastModifiedBy>TBM</cp:lastModifiedBy>
  <cp:lastPrinted>2012-05-09T06:29:51Z</cp:lastPrinted>
  <dcterms:created xsi:type="dcterms:W3CDTF">2012-04-30T23:40:39Z</dcterms:created>
  <dcterms:modified xsi:type="dcterms:W3CDTF">2013-03-30T21:02:31Z</dcterms:modified>
</cp:coreProperties>
</file>